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updateLinks="always" defaultThemeVersion="202300"/>
  <mc:AlternateContent xmlns:mc="http://schemas.openxmlformats.org/markup-compatibility/2006">
    <mc:Choice Requires="x15">
      <x15ac:absPath xmlns:x15ac="http://schemas.microsoft.com/office/spreadsheetml/2010/11/ac" url="https://chetwood.sharepoint.com/sites/DocumentStore/Marketing/Creative/03 - CMI/08 - Website/03-08-04 - Bridging pages/Assets/Calculator/"/>
    </mc:Choice>
  </mc:AlternateContent>
  <xr:revisionPtr revIDLastSave="434" documentId="8_{6435B67E-BB0F-4EA8-B7D6-FB1C44E7F1BA}" xr6:coauthVersionLast="47" xr6:coauthVersionMax="47" xr10:uidLastSave="{0812D061-257A-4838-BCED-2B48E7E2F323}"/>
  <workbookProtection workbookAlgorithmName="SHA-512" workbookHashValue="vPgHoq5wj6TVQJkXveXqheRACDP+uqbIU6RCgYAXVZrEpByMdhRnnD4F7HEtqQqYxhtxfrIZ7d9IkdN41WOrqw==" workbookSaltValue="34Zd1uW/oMBriSM5TXfZLA==" workbookSpinCount="100000" lockStructure="1"/>
  <bookViews>
    <workbookView xWindow="26960" yWindow="600" windowWidth="24240" windowHeight="13020" activeTab="1" xr2:uid="{4B98DDF5-2792-438B-A9C8-295BB78545EF}"/>
  </bookViews>
  <sheets>
    <sheet name="Products" sheetId="4" state="hidden" r:id="rId1"/>
    <sheet name="Calculator" sheetId="12" r:id="rId2"/>
    <sheet name="DIP Terms" sheetId="10" r:id="rId3"/>
    <sheet name="Calculator Redemption" sheetId="9" state="hidden" r:id="rId4"/>
    <sheet name="Cashflow Calculator" sheetId="7" state="hidden" r:id="rId5"/>
    <sheet name="HIDDEN Front Sheet" sheetId="2" state="hidden" r:id="rId6"/>
    <sheet name="HIDDEN AIP Terms" sheetId="6" state="hidden" r:id="rId7"/>
    <sheet name="HIDDEN Redemption" sheetId="5" state="hidden" r:id="rId8"/>
    <sheet name="HIDDEN Cashflow" sheetId="3" state="hidden" r:id="rId9"/>
  </sheets>
  <externalReferences>
    <externalReference r:id="rId10"/>
    <externalReference r:id="rId11"/>
    <externalReference r:id="rId12"/>
  </externalReferences>
  <definedNames>
    <definedName name="_xlnm.Print_Area" localSheetId="2">'DIP Terms'!$A$1:$D$74</definedName>
    <definedName name="_xlnm.Print_Area" localSheetId="6">'HIDDEN AIP Terms'!$A$1:$D$74</definedName>
    <definedName name="Product">'[1]Product Catalogue_UAT'!$B$4:$B$11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0" l="1"/>
  <c r="J75" i="12"/>
  <c r="K75" i="12"/>
  <c r="J80" i="12"/>
  <c r="K80" i="12"/>
  <c r="K98" i="12"/>
  <c r="C11" i="7"/>
  <c r="C4" i="7"/>
  <c r="C5" i="7"/>
  <c r="C6" i="7"/>
  <c r="P30" i="7"/>
  <c r="C48" i="12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L30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H30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C34" i="12"/>
  <c r="C14" i="7" s="1"/>
  <c r="C60" i="12" s="1"/>
  <c r="C30" i="10" s="1"/>
  <c r="C15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C100" i="12"/>
  <c r="D23" i="9" s="1"/>
  <c r="L29" i="7"/>
  <c r="L35" i="7"/>
  <c r="K39" i="7"/>
  <c r="L39" i="7"/>
  <c r="B12" i="9"/>
  <c r="K40" i="7"/>
  <c r="L40" i="7" s="1"/>
  <c r="K41" i="7"/>
  <c r="L41" i="7" s="1"/>
  <c r="K42" i="7"/>
  <c r="L42" i="7" s="1"/>
  <c r="K43" i="7"/>
  <c r="L43" i="7" s="1"/>
  <c r="K44" i="7"/>
  <c r="L44" i="7" s="1"/>
  <c r="K45" i="7"/>
  <c r="L45" i="7"/>
  <c r="K46" i="7"/>
  <c r="L46" i="7"/>
  <c r="K47" i="7"/>
  <c r="L47" i="7" s="1"/>
  <c r="K48" i="7"/>
  <c r="L48" i="7" s="1"/>
  <c r="K49" i="7"/>
  <c r="L49" i="7" s="1"/>
  <c r="K50" i="7"/>
  <c r="L50" i="7" s="1"/>
  <c r="K51" i="7"/>
  <c r="L51" i="7" s="1"/>
  <c r="K52" i="7"/>
  <c r="L52" i="7" s="1"/>
  <c r="K53" i="7"/>
  <c r="L53" i="7" s="1"/>
  <c r="K54" i="7"/>
  <c r="L54" i="7"/>
  <c r="K55" i="7"/>
  <c r="L55" i="7" s="1"/>
  <c r="K56" i="7"/>
  <c r="L56" i="7" s="1"/>
  <c r="K57" i="7"/>
  <c r="L57" i="7"/>
  <c r="K58" i="7"/>
  <c r="L58" i="7" s="1"/>
  <c r="K59" i="7"/>
  <c r="L59" i="7" s="1"/>
  <c r="K60" i="7"/>
  <c r="L60" i="7" s="1"/>
  <c r="K61" i="7"/>
  <c r="L61" i="7" s="1"/>
  <c r="K62" i="7"/>
  <c r="L62" i="7" s="1"/>
  <c r="H29" i="7"/>
  <c r="H35" i="7"/>
  <c r="G39" i="7"/>
  <c r="H39" i="7"/>
  <c r="G40" i="7"/>
  <c r="H40" i="7" s="1"/>
  <c r="G41" i="7"/>
  <c r="H41" i="7" s="1"/>
  <c r="G42" i="7"/>
  <c r="H42" i="7" s="1"/>
  <c r="G43" i="7"/>
  <c r="H43" i="7" s="1"/>
  <c r="G44" i="7"/>
  <c r="H44" i="7"/>
  <c r="G45" i="7"/>
  <c r="H45" i="7"/>
  <c r="G46" i="7"/>
  <c r="H46" i="7" s="1"/>
  <c r="G47" i="7"/>
  <c r="H47" i="7"/>
  <c r="G48" i="7"/>
  <c r="H48" i="7" s="1"/>
  <c r="G49" i="7"/>
  <c r="H49" i="7" s="1"/>
  <c r="G50" i="7"/>
  <c r="H50" i="7" s="1"/>
  <c r="G51" i="7"/>
  <c r="H51" i="7" s="1"/>
  <c r="G52" i="7"/>
  <c r="H52" i="7" s="1"/>
  <c r="G53" i="7"/>
  <c r="H53" i="7"/>
  <c r="G54" i="7"/>
  <c r="H54" i="7" s="1"/>
  <c r="G55" i="7"/>
  <c r="H55" i="7" s="1"/>
  <c r="G56" i="7"/>
  <c r="H56" i="7"/>
  <c r="G57" i="7"/>
  <c r="H57" i="7" s="1"/>
  <c r="G58" i="7"/>
  <c r="H58" i="7" s="1"/>
  <c r="G59" i="7"/>
  <c r="H59" i="7" s="1"/>
  <c r="G60" i="7"/>
  <c r="H60" i="7" s="1"/>
  <c r="G61" i="7"/>
  <c r="H61" i="7" s="1"/>
  <c r="G62" i="7"/>
  <c r="H62" i="7" s="1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O39" i="7"/>
  <c r="P29" i="7"/>
  <c r="P35" i="7"/>
  <c r="P39" i="7"/>
  <c r="O40" i="7"/>
  <c r="P40" i="7" s="1"/>
  <c r="O41" i="7"/>
  <c r="P41" i="7" s="1"/>
  <c r="O42" i="7"/>
  <c r="P42" i="7" s="1"/>
  <c r="O43" i="7"/>
  <c r="P43" i="7"/>
  <c r="O44" i="7"/>
  <c r="P44" i="7" s="1"/>
  <c r="O45" i="7"/>
  <c r="P45" i="7" s="1"/>
  <c r="O46" i="7"/>
  <c r="P46" i="7"/>
  <c r="O47" i="7"/>
  <c r="P47" i="7" s="1"/>
  <c r="O48" i="7"/>
  <c r="P48" i="7" s="1"/>
  <c r="O49" i="7"/>
  <c r="P49" i="7"/>
  <c r="O50" i="7"/>
  <c r="P50" i="7"/>
  <c r="O51" i="7"/>
  <c r="P51" i="7" s="1"/>
  <c r="O52" i="7"/>
  <c r="P52" i="7" s="1"/>
  <c r="O53" i="7"/>
  <c r="P53" i="7" s="1"/>
  <c r="O54" i="7"/>
  <c r="P54" i="7" s="1"/>
  <c r="O55" i="7"/>
  <c r="P55" i="7"/>
  <c r="O56" i="7"/>
  <c r="P56" i="7" s="1"/>
  <c r="O57" i="7"/>
  <c r="P57" i="7" s="1"/>
  <c r="O58" i="7"/>
  <c r="P58" i="7"/>
  <c r="O59" i="7"/>
  <c r="P59" i="7" s="1"/>
  <c r="O60" i="7"/>
  <c r="P60" i="7" s="1"/>
  <c r="O61" i="7"/>
  <c r="P61" i="7"/>
  <c r="O62" i="7"/>
  <c r="P62" i="7"/>
  <c r="D29" i="7"/>
  <c r="D32" i="7"/>
  <c r="D33" i="7"/>
  <c r="C12" i="7"/>
  <c r="D30" i="7"/>
  <c r="C39" i="7"/>
  <c r="C40" i="7"/>
  <c r="D40" i="7" s="1"/>
  <c r="C41" i="7"/>
  <c r="D41" i="7" s="1"/>
  <c r="C42" i="7"/>
  <c r="D42" i="7" s="1"/>
  <c r="C43" i="7"/>
  <c r="D43" i="7" s="1"/>
  <c r="C44" i="7"/>
  <c r="C45" i="7"/>
  <c r="D45" i="7" s="1"/>
  <c r="C46" i="7"/>
  <c r="D46" i="7" s="1"/>
  <c r="C47" i="7"/>
  <c r="D47" i="7" s="1"/>
  <c r="C48" i="7"/>
  <c r="D48" i="7" s="1"/>
  <c r="C49" i="7"/>
  <c r="D49" i="7" s="1"/>
  <c r="C50" i="7"/>
  <c r="D50" i="7" s="1"/>
  <c r="J98" i="12"/>
  <c r="C7" i="7"/>
  <c r="C51" i="7"/>
  <c r="D51" i="7" s="1"/>
  <c r="C52" i="7"/>
  <c r="D52" i="7" s="1"/>
  <c r="C53" i="7"/>
  <c r="D53" i="7"/>
  <c r="C64" i="7"/>
  <c r="C106" i="12" s="1" a="1"/>
  <c r="C106" i="12" s="1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C19" i="7"/>
  <c r="C54" i="7"/>
  <c r="D54" i="7" s="1"/>
  <c r="C55" i="7"/>
  <c r="C56" i="7"/>
  <c r="D56" i="7" s="1"/>
  <c r="C57" i="7"/>
  <c r="D57" i="7" s="1"/>
  <c r="C58" i="7"/>
  <c r="D58" i="7" s="1"/>
  <c r="C59" i="7"/>
  <c r="D59" i="7" s="1"/>
  <c r="C60" i="7"/>
  <c r="D60" i="7" s="1"/>
  <c r="C61" i="7"/>
  <c r="D61" i="7" s="1"/>
  <c r="C62" i="7"/>
  <c r="D62" i="7" s="1"/>
  <c r="C108" i="12"/>
  <c r="C107" i="12"/>
  <c r="C26" i="2"/>
  <c r="M22" i="2"/>
  <c r="N22" i="2"/>
  <c r="M23" i="2"/>
  <c r="N23" i="2"/>
  <c r="N33" i="2"/>
  <c r="M33" i="2"/>
  <c r="G98" i="12"/>
  <c r="C98" i="12"/>
  <c r="E98" i="12"/>
  <c r="J96" i="12"/>
  <c r="K96" i="12"/>
  <c r="J94" i="12"/>
  <c r="K94" i="12"/>
  <c r="J92" i="12"/>
  <c r="K92" i="12"/>
  <c r="J90" i="12"/>
  <c r="K90" i="12"/>
  <c r="J88" i="12"/>
  <c r="K88" i="12"/>
  <c r="J86" i="12"/>
  <c r="K86" i="12"/>
  <c r="J84" i="12"/>
  <c r="K84" i="12"/>
  <c r="J82" i="12"/>
  <c r="K82" i="12"/>
  <c r="C12" i="10"/>
  <c r="C16" i="7"/>
  <c r="C16" i="10" s="1"/>
  <c r="C61" i="10" s="1"/>
  <c r="C13" i="7"/>
  <c r="D31" i="7"/>
  <c r="D55" i="7"/>
  <c r="B13" i="9"/>
  <c r="E23" i="9"/>
  <c r="E22" i="9"/>
  <c r="E21" i="9"/>
  <c r="E20" i="9"/>
  <c r="D21" i="9"/>
  <c r="D20" i="9"/>
  <c r="C23" i="9"/>
  <c r="C22" i="9"/>
  <c r="C21" i="9"/>
  <c r="C20" i="9"/>
  <c r="B23" i="9"/>
  <c r="B22" i="9"/>
  <c r="B21" i="9"/>
  <c r="B20" i="9"/>
  <c r="C67" i="10"/>
  <c r="C52" i="10"/>
  <c r="C58" i="10"/>
  <c r="C54" i="10"/>
  <c r="C48" i="10"/>
  <c r="C37" i="10"/>
  <c r="C28" i="10"/>
  <c r="C26" i="10"/>
  <c r="C24" i="10"/>
  <c r="C14" i="10"/>
  <c r="C10" i="10"/>
  <c r="C52" i="12"/>
  <c r="C32" i="2"/>
  <c r="B12" i="5"/>
  <c r="C9" i="3"/>
  <c r="D29" i="3"/>
  <c r="C15" i="3"/>
  <c r="C14" i="3"/>
  <c r="D34" i="3"/>
  <c r="D32" i="3"/>
  <c r="D33" i="3"/>
  <c r="D35" i="3"/>
  <c r="C4" i="3"/>
  <c r="C22" i="2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B49" i="3"/>
  <c r="C49" i="3"/>
  <c r="D49" i="3"/>
  <c r="B50" i="3"/>
  <c r="C50" i="3"/>
  <c r="D50" i="3"/>
  <c r="C7" i="3"/>
  <c r="C6" i="3"/>
  <c r="L30" i="3"/>
  <c r="H30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B51" i="3"/>
  <c r="B52" i="3"/>
  <c r="B53" i="3"/>
  <c r="B54" i="3"/>
  <c r="B55" i="3"/>
  <c r="B56" i="3"/>
  <c r="B57" i="3"/>
  <c r="B58" i="3"/>
  <c r="B59" i="3"/>
  <c r="B60" i="3"/>
  <c r="B61" i="3"/>
  <c r="B62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J39" i="3"/>
  <c r="K39" i="3"/>
  <c r="L39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P30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N39" i="3"/>
  <c r="O39" i="3"/>
  <c r="P39" i="3"/>
  <c r="N40" i="3"/>
  <c r="O40" i="3"/>
  <c r="P40" i="3"/>
  <c r="N41" i="3"/>
  <c r="O41" i="3"/>
  <c r="P41" i="3"/>
  <c r="N42" i="3"/>
  <c r="O42" i="3"/>
  <c r="P42" i="3"/>
  <c r="N43" i="3"/>
  <c r="O43" i="3"/>
  <c r="P43" i="3"/>
  <c r="N44" i="3"/>
  <c r="O44" i="3"/>
  <c r="P44" i="3"/>
  <c r="N45" i="3"/>
  <c r="O45" i="3"/>
  <c r="P45" i="3"/>
  <c r="N46" i="3"/>
  <c r="O46" i="3"/>
  <c r="P46" i="3"/>
  <c r="N47" i="3"/>
  <c r="O47" i="3"/>
  <c r="P47" i="3"/>
  <c r="O48" i="3"/>
  <c r="P48" i="3"/>
  <c r="O49" i="3"/>
  <c r="P49" i="3"/>
  <c r="O50" i="3"/>
  <c r="P50" i="3"/>
  <c r="O51" i="3"/>
  <c r="P51" i="3"/>
  <c r="O52" i="3"/>
  <c r="P52" i="3"/>
  <c r="O53" i="3"/>
  <c r="P53" i="3"/>
  <c r="O54" i="3"/>
  <c r="P54" i="3"/>
  <c r="O55" i="3"/>
  <c r="P55" i="3"/>
  <c r="O56" i="3"/>
  <c r="P56" i="3"/>
  <c r="O57" i="3"/>
  <c r="P57" i="3"/>
  <c r="O58" i="3"/>
  <c r="P58" i="3"/>
  <c r="O59" i="3"/>
  <c r="P59" i="3"/>
  <c r="O60" i="3"/>
  <c r="P60" i="3"/>
  <c r="O61" i="3"/>
  <c r="P61" i="3"/>
  <c r="O62" i="3"/>
  <c r="P62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C64" i="3"/>
  <c r="C30" i="2"/>
  <c r="C51" i="3"/>
  <c r="C52" i="3"/>
  <c r="C53" i="3"/>
  <c r="C54" i="3"/>
  <c r="C55" i="3"/>
  <c r="C56" i="3"/>
  <c r="C57" i="3"/>
  <c r="C58" i="3"/>
  <c r="C59" i="3"/>
  <c r="C60" i="3"/>
  <c r="C61" i="3"/>
  <c r="C62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C21" i="3"/>
  <c r="C17" i="3"/>
  <c r="C29" i="2"/>
  <c r="C28" i="2"/>
  <c r="B10" i="9"/>
  <c r="B9" i="9"/>
  <c r="G4" i="4"/>
  <c r="A41" i="7"/>
  <c r="A40" i="7"/>
  <c r="Y29" i="7"/>
  <c r="Y35" i="7"/>
  <c r="AC39" i="7"/>
  <c r="W29" i="7"/>
  <c r="W35" i="7"/>
  <c r="Z39" i="7"/>
  <c r="U29" i="7"/>
  <c r="U35" i="7"/>
  <c r="W39" i="7"/>
  <c r="S33" i="7"/>
  <c r="S32" i="7"/>
  <c r="S29" i="7"/>
  <c r="R15" i="7"/>
  <c r="R16" i="7"/>
  <c r="R13" i="7"/>
  <c r="R12" i="7"/>
  <c r="S30" i="7"/>
  <c r="R5" i="7"/>
  <c r="R4" i="7"/>
  <c r="M25" i="2"/>
  <c r="A51" i="2"/>
  <c r="C15" i="2"/>
  <c r="S31" i="7"/>
  <c r="A42" i="7"/>
  <c r="R14" i="7"/>
  <c r="S34" i="7"/>
  <c r="C31" i="2"/>
  <c r="AE39" i="7"/>
  <c r="AE40" i="7"/>
  <c r="Y30" i="7"/>
  <c r="R17" i="7"/>
  <c r="S35" i="7"/>
  <c r="AD38" i="7"/>
  <c r="A43" i="7"/>
  <c r="C11" i="3"/>
  <c r="W30" i="7"/>
  <c r="U30" i="7"/>
  <c r="AE41" i="7"/>
  <c r="A44" i="7"/>
  <c r="AE42" i="7"/>
  <c r="M31" i="2"/>
  <c r="M30" i="2"/>
  <c r="M29" i="2"/>
  <c r="M28" i="2"/>
  <c r="M27" i="2"/>
  <c r="M26" i="2"/>
  <c r="M24" i="2"/>
  <c r="AE43" i="7"/>
  <c r="A45" i="7"/>
  <c r="S33" i="3"/>
  <c r="S32" i="3"/>
  <c r="C6" i="6"/>
  <c r="A46" i="7"/>
  <c r="AE44" i="7"/>
  <c r="C58" i="6"/>
  <c r="C52" i="6"/>
  <c r="C48" i="6"/>
  <c r="G20" i="4"/>
  <c r="G19" i="4"/>
  <c r="G18" i="4"/>
  <c r="G17" i="4"/>
  <c r="G16" i="4"/>
  <c r="G15" i="4"/>
  <c r="G14" i="4"/>
  <c r="G13" i="4"/>
  <c r="G12" i="4"/>
  <c r="G11" i="4"/>
  <c r="G10" i="4"/>
  <c r="G7" i="4"/>
  <c r="G8" i="4"/>
  <c r="G9" i="4"/>
  <c r="G6" i="4"/>
  <c r="G5" i="4"/>
  <c r="C54" i="6"/>
  <c r="R7" i="7"/>
  <c r="R11" i="7"/>
  <c r="R64" i="7"/>
  <c r="R39" i="7"/>
  <c r="T39" i="7" s="1"/>
  <c r="T40" i="7" s="1"/>
  <c r="T41" i="7" s="1"/>
  <c r="T42" i="7" s="1"/>
  <c r="T43" i="7" s="1"/>
  <c r="T44" i="7" s="1"/>
  <c r="T45" i="7" s="1"/>
  <c r="T46" i="7" s="1"/>
  <c r="T47" i="7" s="1"/>
  <c r="T48" i="7" s="1"/>
  <c r="T49" i="7" s="1"/>
  <c r="T50" i="7" s="1"/>
  <c r="T51" i="7" s="1"/>
  <c r="T52" i="7" s="1"/>
  <c r="T53" i="7" s="1"/>
  <c r="T54" i="7" s="1"/>
  <c r="T55" i="7" s="1"/>
  <c r="T56" i="7" s="1"/>
  <c r="T57" i="7" s="1"/>
  <c r="T58" i="7" s="1"/>
  <c r="T59" i="7" s="1"/>
  <c r="T60" i="7" s="1"/>
  <c r="T61" i="7" s="1"/>
  <c r="T62" i="7" s="1"/>
  <c r="A47" i="7"/>
  <c r="AE45" i="7"/>
  <c r="C23" i="5"/>
  <c r="B23" i="5"/>
  <c r="R15" i="3"/>
  <c r="Y29" i="3"/>
  <c r="Y35" i="3"/>
  <c r="AC39" i="3"/>
  <c r="P29" i="3"/>
  <c r="P35" i="3"/>
  <c r="C37" i="2"/>
  <c r="C23" i="2"/>
  <c r="B9" i="5"/>
  <c r="C67" i="6"/>
  <c r="C37" i="6"/>
  <c r="W29" i="3"/>
  <c r="U29" i="3"/>
  <c r="L29" i="3"/>
  <c r="H29" i="3"/>
  <c r="B13" i="5"/>
  <c r="B22" i="5"/>
  <c r="B21" i="5"/>
  <c r="B20" i="5"/>
  <c r="C22" i="5"/>
  <c r="C21" i="5"/>
  <c r="C20" i="5"/>
  <c r="C8" i="6"/>
  <c r="C24" i="6"/>
  <c r="C14" i="6"/>
  <c r="C10" i="6"/>
  <c r="B10" i="5"/>
  <c r="C4" i="6"/>
  <c r="S29" i="3"/>
  <c r="AE46" i="7"/>
  <c r="A48" i="7"/>
  <c r="W35" i="3"/>
  <c r="H35" i="3"/>
  <c r="R9" i="7"/>
  <c r="C13" i="3"/>
  <c r="C12" i="3"/>
  <c r="R5" i="3"/>
  <c r="C5" i="3"/>
  <c r="R4" i="3"/>
  <c r="R10" i="7"/>
  <c r="S39" i="7"/>
  <c r="R18" i="7"/>
  <c r="A49" i="7"/>
  <c r="AE47" i="7"/>
  <c r="D23" i="5"/>
  <c r="R9" i="3"/>
  <c r="R10" i="3"/>
  <c r="C28" i="6"/>
  <c r="D20" i="5"/>
  <c r="D21" i="5"/>
  <c r="D22" i="5"/>
  <c r="L35" i="3"/>
  <c r="U35" i="3"/>
  <c r="Z39" i="3"/>
  <c r="R16" i="3"/>
  <c r="L33" i="2"/>
  <c r="J33" i="2"/>
  <c r="E23" i="5"/>
  <c r="R6" i="7"/>
  <c r="AE48" i="7"/>
  <c r="A50" i="7"/>
  <c r="E21" i="5"/>
  <c r="E20" i="5"/>
  <c r="E22" i="5"/>
  <c r="R14" i="3"/>
  <c r="W39" i="3"/>
  <c r="R6" i="3"/>
  <c r="K33" i="2"/>
  <c r="C12" i="6"/>
  <c r="A51" i="7"/>
  <c r="AE49" i="7"/>
  <c r="R7" i="3"/>
  <c r="R11" i="3"/>
  <c r="C16" i="3"/>
  <c r="C16" i="6"/>
  <c r="C61" i="6"/>
  <c r="S34" i="3"/>
  <c r="S40" i="7"/>
  <c r="S41" i="7"/>
  <c r="S42" i="7"/>
  <c r="S43" i="7"/>
  <c r="S44" i="7"/>
  <c r="S45" i="7"/>
  <c r="S46" i="7"/>
  <c r="S47" i="7"/>
  <c r="S48" i="7"/>
  <c r="S49" i="7"/>
  <c r="S50" i="7"/>
  <c r="R40" i="7"/>
  <c r="A52" i="7"/>
  <c r="AE50" i="7"/>
  <c r="AF39" i="7"/>
  <c r="B51" i="2"/>
  <c r="D51" i="2"/>
  <c r="E51" i="2"/>
  <c r="F51" i="2"/>
  <c r="W30" i="3"/>
  <c r="Y30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U30" i="3"/>
  <c r="C30" i="6"/>
  <c r="A40" i="3"/>
  <c r="R13" i="3"/>
  <c r="S31" i="3"/>
  <c r="R12" i="3"/>
  <c r="R41" i="7"/>
  <c r="R42" i="7"/>
  <c r="R43" i="7"/>
  <c r="R44" i="7"/>
  <c r="R45" i="7"/>
  <c r="R46" i="7"/>
  <c r="R47" i="7"/>
  <c r="R48" i="7"/>
  <c r="R49" i="7"/>
  <c r="A53" i="7"/>
  <c r="S51" i="7"/>
  <c r="S52" i="7"/>
  <c r="R17" i="3"/>
  <c r="R18" i="3"/>
  <c r="S30" i="3"/>
  <c r="S35" i="3"/>
  <c r="R64" i="3"/>
  <c r="C26" i="6"/>
  <c r="AE39" i="3"/>
  <c r="C10" i="3"/>
  <c r="AE40" i="3"/>
  <c r="D31" i="3"/>
  <c r="A41" i="3"/>
  <c r="D30" i="3"/>
  <c r="R50" i="7"/>
  <c r="S53" i="7"/>
  <c r="A54" i="7"/>
  <c r="Q38" i="3"/>
  <c r="S39" i="3"/>
  <c r="S40" i="3"/>
  <c r="S41" i="3"/>
  <c r="R39" i="3"/>
  <c r="AD38" i="3"/>
  <c r="AE41" i="3"/>
  <c r="A42" i="3"/>
  <c r="A55" i="7"/>
  <c r="S54" i="7"/>
  <c r="R54" i="7"/>
  <c r="T39" i="3"/>
  <c r="R40" i="3"/>
  <c r="T40" i="3"/>
  <c r="S42" i="3"/>
  <c r="AE42" i="3"/>
  <c r="A43" i="3"/>
  <c r="R51" i="7"/>
  <c r="S55" i="7"/>
  <c r="R55" i="7"/>
  <c r="A56" i="7"/>
  <c r="S43" i="3"/>
  <c r="AE43" i="3"/>
  <c r="A44" i="3"/>
  <c r="R52" i="7"/>
  <c r="A57" i="7"/>
  <c r="S56" i="7"/>
  <c r="R56" i="7"/>
  <c r="S44" i="3"/>
  <c r="R41" i="3"/>
  <c r="AE44" i="3"/>
  <c r="A45" i="3"/>
  <c r="R53" i="7"/>
  <c r="A58" i="7"/>
  <c r="S57" i="7"/>
  <c r="R57" i="7"/>
  <c r="T41" i="3"/>
  <c r="R42" i="3"/>
  <c r="T42" i="3"/>
  <c r="R43" i="3"/>
  <c r="T43" i="3"/>
  <c r="S45" i="3"/>
  <c r="AE45" i="3"/>
  <c r="A46" i="3"/>
  <c r="A59" i="7"/>
  <c r="S58" i="7"/>
  <c r="R58" i="7"/>
  <c r="S46" i="3"/>
  <c r="A47" i="3"/>
  <c r="S59" i="7"/>
  <c r="R59" i="7"/>
  <c r="A60" i="7"/>
  <c r="S47" i="3"/>
  <c r="R44" i="3"/>
  <c r="T44" i="3"/>
  <c r="AE46" i="3"/>
  <c r="A48" i="3"/>
  <c r="A61" i="7"/>
  <c r="S60" i="7"/>
  <c r="R60" i="7"/>
  <c r="S48" i="3"/>
  <c r="A49" i="3"/>
  <c r="R61" i="7"/>
  <c r="S61" i="7"/>
  <c r="A62" i="7"/>
  <c r="S49" i="3"/>
  <c r="R45" i="3"/>
  <c r="T45" i="3"/>
  <c r="A50" i="3"/>
  <c r="S62" i="7"/>
  <c r="R62" i="7"/>
  <c r="S50" i="3"/>
  <c r="R46" i="3"/>
  <c r="T46" i="3"/>
  <c r="A51" i="3"/>
  <c r="V39" i="7"/>
  <c r="U39" i="7"/>
  <c r="S51" i="3"/>
  <c r="R47" i="3"/>
  <c r="T47" i="3"/>
  <c r="A52" i="3"/>
  <c r="V40" i="7"/>
  <c r="U40" i="7"/>
  <c r="W40" i="7" s="1"/>
  <c r="W41" i="7" s="1"/>
  <c r="W42" i="7" s="1"/>
  <c r="W43" i="7" s="1"/>
  <c r="W44" i="7" s="1"/>
  <c r="W45" i="7" s="1"/>
  <c r="W46" i="7" s="1"/>
  <c r="W47" i="7" s="1"/>
  <c r="W48" i="7" s="1"/>
  <c r="W49" i="7" s="1"/>
  <c r="W50" i="7" s="1"/>
  <c r="W51" i="7" s="1"/>
  <c r="W52" i="7" s="1"/>
  <c r="W53" i="7" s="1"/>
  <c r="W54" i="7" s="1"/>
  <c r="W55" i="7" s="1"/>
  <c r="W56" i="7" s="1"/>
  <c r="W57" i="7" s="1"/>
  <c r="W58" i="7" s="1"/>
  <c r="W59" i="7" s="1"/>
  <c r="W60" i="7" s="1"/>
  <c r="W61" i="7" s="1"/>
  <c r="W62" i="7" s="1"/>
  <c r="S52" i="3"/>
  <c r="R48" i="3"/>
  <c r="T48" i="3"/>
  <c r="A53" i="3"/>
  <c r="U41" i="7"/>
  <c r="V41" i="7"/>
  <c r="S53" i="3"/>
  <c r="R49" i="3"/>
  <c r="T49" i="3"/>
  <c r="A54" i="3"/>
  <c r="U42" i="7"/>
  <c r="V42" i="7"/>
  <c r="S54" i="3"/>
  <c r="R50" i="3"/>
  <c r="T50" i="3"/>
  <c r="R51" i="3"/>
  <c r="A55" i="3"/>
  <c r="U43" i="7"/>
  <c r="V43" i="7"/>
  <c r="S55" i="3"/>
  <c r="T51" i="3"/>
  <c r="A56" i="3"/>
  <c r="U44" i="7"/>
  <c r="V44" i="7"/>
  <c r="A57" i="3"/>
  <c r="S56" i="3"/>
  <c r="A58" i="3"/>
  <c r="R52" i="3"/>
  <c r="T52" i="3"/>
  <c r="V45" i="7"/>
  <c r="U45" i="7"/>
  <c r="U39" i="3"/>
  <c r="S57" i="3"/>
  <c r="S58" i="3"/>
  <c r="V39" i="3"/>
  <c r="A59" i="3"/>
  <c r="R53" i="3"/>
  <c r="T53" i="3"/>
  <c r="U46" i="7"/>
  <c r="V46" i="7"/>
  <c r="S59" i="3"/>
  <c r="A60" i="3"/>
  <c r="R54" i="3"/>
  <c r="T54" i="3"/>
  <c r="U47" i="7"/>
  <c r="V47" i="7"/>
  <c r="S60" i="3"/>
  <c r="A61" i="3"/>
  <c r="R55" i="3"/>
  <c r="T55" i="3"/>
  <c r="AE47" i="3"/>
  <c r="U48" i="7"/>
  <c r="V48" i="7"/>
  <c r="R56" i="3"/>
  <c r="T56" i="3"/>
  <c r="R57" i="3"/>
  <c r="S61" i="3"/>
  <c r="A62" i="3"/>
  <c r="AE48" i="3"/>
  <c r="U49" i="7"/>
  <c r="V49" i="7"/>
  <c r="T57" i="3"/>
  <c r="S62" i="3"/>
  <c r="AE49" i="3"/>
  <c r="V50" i="7"/>
  <c r="U50" i="7"/>
  <c r="R58" i="3"/>
  <c r="T58" i="3"/>
  <c r="D51" i="3"/>
  <c r="D52" i="3"/>
  <c r="AE50" i="3"/>
  <c r="AF39" i="3"/>
  <c r="D53" i="3"/>
  <c r="D54" i="3"/>
  <c r="D55" i="3"/>
  <c r="D56" i="3"/>
  <c r="D57" i="3"/>
  <c r="D58" i="3"/>
  <c r="D59" i="3"/>
  <c r="D60" i="3"/>
  <c r="D61" i="3"/>
  <c r="D62" i="3"/>
  <c r="V51" i="7"/>
  <c r="U51" i="7"/>
  <c r="R59" i="3"/>
  <c r="T59" i="3"/>
  <c r="V52" i="7"/>
  <c r="U52" i="7"/>
  <c r="F20" i="5"/>
  <c r="R60" i="3"/>
  <c r="T60" i="3"/>
  <c r="U40" i="3"/>
  <c r="V40" i="3"/>
  <c r="V53" i="7"/>
  <c r="U53" i="7"/>
  <c r="R61" i="3"/>
  <c r="T61" i="3"/>
  <c r="W40" i="3"/>
  <c r="U41" i="3"/>
  <c r="V41" i="3"/>
  <c r="V54" i="7"/>
  <c r="U54" i="7"/>
  <c r="R62" i="3"/>
  <c r="T62" i="3"/>
  <c r="V42" i="3"/>
  <c r="W41" i="3"/>
  <c r="U42" i="3"/>
  <c r="V55" i="7"/>
  <c r="U55" i="7"/>
  <c r="V43" i="3"/>
  <c r="W42" i="3"/>
  <c r="U43" i="3"/>
  <c r="U56" i="7"/>
  <c r="V56" i="7"/>
  <c r="V44" i="3"/>
  <c r="W43" i="3"/>
  <c r="U44" i="3"/>
  <c r="V57" i="7"/>
  <c r="U57" i="7"/>
  <c r="V45" i="3"/>
  <c r="W44" i="3"/>
  <c r="U45" i="3"/>
  <c r="V58" i="7"/>
  <c r="U58" i="7"/>
  <c r="V46" i="3"/>
  <c r="W45" i="3"/>
  <c r="U46" i="3"/>
  <c r="V59" i="7"/>
  <c r="U59" i="7"/>
  <c r="V47" i="3"/>
  <c r="W46" i="3"/>
  <c r="U47" i="3"/>
  <c r="V60" i="7"/>
  <c r="U60" i="7"/>
  <c r="V48" i="3"/>
  <c r="W47" i="3"/>
  <c r="U48" i="3"/>
  <c r="V61" i="7"/>
  <c r="U61" i="7"/>
  <c r="V49" i="3"/>
  <c r="W48" i="3"/>
  <c r="U49" i="3"/>
  <c r="U62" i="7"/>
  <c r="V62" i="7"/>
  <c r="H50" i="3"/>
  <c r="V50" i="3"/>
  <c r="U50" i="3"/>
  <c r="W49" i="3"/>
  <c r="H51" i="3"/>
  <c r="Y39" i="7"/>
  <c r="X39" i="7"/>
  <c r="V51" i="3"/>
  <c r="U51" i="3"/>
  <c r="W50" i="3"/>
  <c r="H52" i="3"/>
  <c r="Y40" i="7"/>
  <c r="X40" i="7"/>
  <c r="V52" i="3"/>
  <c r="U52" i="3"/>
  <c r="W51" i="3"/>
  <c r="H53" i="3"/>
  <c r="Z40" i="7"/>
  <c r="X41" i="7"/>
  <c r="Y41" i="7"/>
  <c r="V53" i="3"/>
  <c r="U53" i="3"/>
  <c r="W52" i="3"/>
  <c r="H54" i="3"/>
  <c r="X42" i="7"/>
  <c r="Y42" i="7"/>
  <c r="V54" i="3"/>
  <c r="U54" i="3"/>
  <c r="W53" i="3"/>
  <c r="H55" i="3"/>
  <c r="X43" i="7"/>
  <c r="Y43" i="7"/>
  <c r="H56" i="3"/>
  <c r="V55" i="3"/>
  <c r="U55" i="3"/>
  <c r="W54" i="3"/>
  <c r="X44" i="7"/>
  <c r="Y44" i="7"/>
  <c r="V56" i="3"/>
  <c r="U56" i="3"/>
  <c r="W55" i="3"/>
  <c r="X45" i="7"/>
  <c r="Y45" i="7"/>
  <c r="W56" i="3"/>
  <c r="H57" i="3"/>
  <c r="V57" i="3"/>
  <c r="U57" i="3"/>
  <c r="X46" i="7"/>
  <c r="Y46" i="7"/>
  <c r="W57" i="3"/>
  <c r="V58" i="3"/>
  <c r="U58" i="3"/>
  <c r="H58" i="3"/>
  <c r="Y47" i="7"/>
  <c r="X47" i="7"/>
  <c r="W58" i="3"/>
  <c r="V59" i="3"/>
  <c r="U59" i="3"/>
  <c r="H59" i="3"/>
  <c r="Y48" i="7"/>
  <c r="X48" i="7"/>
  <c r="W59" i="3"/>
  <c r="H60" i="3"/>
  <c r="U60" i="3"/>
  <c r="V60" i="3"/>
  <c r="Y49" i="7"/>
  <c r="X49" i="7"/>
  <c r="W60" i="3"/>
  <c r="H61" i="3"/>
  <c r="V61" i="3"/>
  <c r="U61" i="3"/>
  <c r="X50" i="7"/>
  <c r="Y50" i="7"/>
  <c r="X39" i="3"/>
  <c r="Y39" i="3"/>
  <c r="W61" i="3"/>
  <c r="U62" i="3"/>
  <c r="V62" i="3"/>
  <c r="Y51" i="7"/>
  <c r="X51" i="7"/>
  <c r="X40" i="3"/>
  <c r="Y40" i="3"/>
  <c r="H62" i="3"/>
  <c r="F21" i="5"/>
  <c r="W62" i="3"/>
  <c r="Y52" i="7"/>
  <c r="X52" i="7"/>
  <c r="Y41" i="3"/>
  <c r="Z40" i="3"/>
  <c r="Y53" i="7"/>
  <c r="X53" i="7"/>
  <c r="X41" i="3"/>
  <c r="Z41" i="3"/>
  <c r="Y42" i="3"/>
  <c r="X54" i="7"/>
  <c r="Y54" i="7"/>
  <c r="X42" i="3"/>
  <c r="Z42" i="3"/>
  <c r="Y43" i="3"/>
  <c r="Y55" i="7"/>
  <c r="X55" i="7"/>
  <c r="X43" i="3"/>
  <c r="Z43" i="3"/>
  <c r="Y44" i="3"/>
  <c r="X56" i="7"/>
  <c r="Y56" i="7"/>
  <c r="R66" i="7"/>
  <c r="R67" i="7"/>
  <c r="Y45" i="3"/>
  <c r="X44" i="3"/>
  <c r="Z44" i="3"/>
  <c r="Y57" i="7"/>
  <c r="X57" i="7"/>
  <c r="X45" i="3"/>
  <c r="Z45" i="3"/>
  <c r="Y46" i="3"/>
  <c r="Y58" i="7"/>
  <c r="X58" i="7"/>
  <c r="X46" i="3"/>
  <c r="Z46" i="3"/>
  <c r="Y47" i="3"/>
  <c r="Y59" i="7"/>
  <c r="X59" i="7"/>
  <c r="X47" i="3"/>
  <c r="Z47" i="3"/>
  <c r="Y48" i="3"/>
  <c r="X60" i="7"/>
  <c r="Y60" i="7"/>
  <c r="X48" i="3"/>
  <c r="Z48" i="3"/>
  <c r="Y49" i="3"/>
  <c r="Y61" i="7"/>
  <c r="X61" i="7"/>
  <c r="X49" i="3"/>
  <c r="Z49" i="3"/>
  <c r="Y50" i="3"/>
  <c r="X50" i="3"/>
  <c r="Y62" i="7"/>
  <c r="X62" i="7"/>
  <c r="Z50" i="3"/>
  <c r="X51" i="3"/>
  <c r="Y51" i="3"/>
  <c r="AB39" i="7"/>
  <c r="AA39" i="7"/>
  <c r="Z51" i="3"/>
  <c r="Y52" i="3"/>
  <c r="X52" i="3"/>
  <c r="Z52" i="3"/>
  <c r="AB40" i="7"/>
  <c r="AA40" i="7"/>
  <c r="AC40" i="7" s="1"/>
  <c r="AC41" i="7" s="1"/>
  <c r="AC42" i="7" s="1"/>
  <c r="AC43" i="7" s="1"/>
  <c r="AC44" i="7" s="1"/>
  <c r="AC45" i="7" s="1"/>
  <c r="AC46" i="7" s="1"/>
  <c r="AC47" i="7" s="1"/>
  <c r="AC48" i="7" s="1"/>
  <c r="AC49" i="7" s="1"/>
  <c r="AC50" i="7" s="1"/>
  <c r="AC51" i="7" s="1"/>
  <c r="AC52" i="7" s="1"/>
  <c r="AC53" i="7" s="1"/>
  <c r="AC54" i="7" s="1"/>
  <c r="AC55" i="7" s="1"/>
  <c r="AC56" i="7" s="1"/>
  <c r="AC57" i="7" s="1"/>
  <c r="AC58" i="7" s="1"/>
  <c r="AC59" i="7" s="1"/>
  <c r="AC60" i="7" s="1"/>
  <c r="AC61" i="7" s="1"/>
  <c r="AC62" i="7" s="1"/>
  <c r="Y53" i="3"/>
  <c r="X53" i="3"/>
  <c r="Z53" i="3"/>
  <c r="AA41" i="7"/>
  <c r="AB41" i="7"/>
  <c r="Y54" i="3"/>
  <c r="X54" i="3"/>
  <c r="Z54" i="3"/>
  <c r="AA42" i="7"/>
  <c r="AB42" i="7"/>
  <c r="Y55" i="3"/>
  <c r="X55" i="3"/>
  <c r="AA43" i="7"/>
  <c r="AB43" i="7"/>
  <c r="Z55" i="3"/>
  <c r="Y56" i="3"/>
  <c r="R66" i="3"/>
  <c r="R67" i="3"/>
  <c r="X56" i="3"/>
  <c r="Z56" i="3"/>
  <c r="AB44" i="7"/>
  <c r="AA44" i="7"/>
  <c r="X57" i="3"/>
  <c r="Y57" i="3"/>
  <c r="AA45" i="7"/>
  <c r="AB45" i="7"/>
  <c r="Z57" i="3"/>
  <c r="Y58" i="3"/>
  <c r="X58" i="3"/>
  <c r="Z58" i="3"/>
  <c r="AB46" i="7"/>
  <c r="AA46" i="7"/>
  <c r="X59" i="3"/>
  <c r="Y59" i="3"/>
  <c r="AA47" i="7"/>
  <c r="AB47" i="7"/>
  <c r="Z59" i="3"/>
  <c r="X60" i="3"/>
  <c r="Y60" i="3"/>
  <c r="AB48" i="7"/>
  <c r="AA48" i="7"/>
  <c r="Z60" i="3"/>
  <c r="Y61" i="3"/>
  <c r="X61" i="3"/>
  <c r="Z61" i="3"/>
  <c r="AA49" i="7"/>
  <c r="AB49" i="7"/>
  <c r="X62" i="3"/>
  <c r="Y62" i="3"/>
  <c r="F22" i="5"/>
  <c r="AB50" i="7"/>
  <c r="AA50" i="7"/>
  <c r="Z62" i="3"/>
  <c r="AA39" i="3"/>
  <c r="AB39" i="3"/>
  <c r="Q57" i="3"/>
  <c r="Q40" i="3"/>
  <c r="Q60" i="3"/>
  <c r="Q52" i="3"/>
  <c r="Q39" i="3"/>
  <c r="Q45" i="3"/>
  <c r="Q43" i="3"/>
  <c r="Q54" i="3"/>
  <c r="Q49" i="3"/>
  <c r="Q42" i="3"/>
  <c r="Q58" i="3"/>
  <c r="Q46" i="3"/>
  <c r="Q59" i="3"/>
  <c r="Q48" i="3"/>
  <c r="Q47" i="3"/>
  <c r="Q62" i="3"/>
  <c r="Q55" i="3"/>
  <c r="Q61" i="3"/>
  <c r="Q44" i="3"/>
  <c r="Q51" i="3"/>
  <c r="Q56" i="3"/>
  <c r="AB51" i="7"/>
  <c r="AA51" i="7"/>
  <c r="AB40" i="3"/>
  <c r="AA40" i="3"/>
  <c r="AB52" i="7"/>
  <c r="AA52" i="7"/>
  <c r="AC40" i="3"/>
  <c r="AB41" i="3"/>
  <c r="AA41" i="3"/>
  <c r="AC41" i="3"/>
  <c r="AB53" i="7"/>
  <c r="AA53" i="7"/>
  <c r="AA42" i="3"/>
  <c r="AB42" i="3"/>
  <c r="AC42" i="3"/>
  <c r="AB54" i="7"/>
  <c r="AA54" i="7"/>
  <c r="AA43" i="3"/>
  <c r="AB43" i="3"/>
  <c r="AC43" i="3"/>
  <c r="AB55" i="7"/>
  <c r="AA55" i="7"/>
  <c r="AA44" i="3"/>
  <c r="AB44" i="3"/>
  <c r="AC44" i="3"/>
  <c r="AB56" i="7"/>
  <c r="AD59" i="7"/>
  <c r="AA56" i="7"/>
  <c r="AD62" i="7"/>
  <c r="AD41" i="7"/>
  <c r="R68" i="7" s="1"/>
  <c r="AD57" i="7"/>
  <c r="AD39" i="7"/>
  <c r="AD54" i="7"/>
  <c r="AD43" i="7"/>
  <c r="AD49" i="7"/>
  <c r="AD55" i="7"/>
  <c r="AD48" i="7"/>
  <c r="AD60" i="7"/>
  <c r="AD45" i="7"/>
  <c r="AD47" i="7"/>
  <c r="AD42" i="7"/>
  <c r="AD44" i="7"/>
  <c r="AD52" i="7"/>
  <c r="AD46" i="7"/>
  <c r="AD40" i="7"/>
  <c r="AD61" i="7"/>
  <c r="AD51" i="7"/>
  <c r="AD53" i="7"/>
  <c r="AD58" i="7"/>
  <c r="AD56" i="7"/>
  <c r="AD50" i="7"/>
  <c r="R19" i="7"/>
  <c r="R22" i="7" s="1"/>
  <c r="AA45" i="3"/>
  <c r="AB45" i="3"/>
  <c r="AC45" i="3"/>
  <c r="AA57" i="7"/>
  <c r="AB57" i="7"/>
  <c r="AA46" i="3"/>
  <c r="AB46" i="3"/>
  <c r="AC46" i="3"/>
  <c r="AB58" i="7"/>
  <c r="AA58" i="7"/>
  <c r="AB47" i="3"/>
  <c r="AA47" i="3"/>
  <c r="AB59" i="7"/>
  <c r="AA59" i="7"/>
  <c r="AC47" i="3"/>
  <c r="AA48" i="3"/>
  <c r="AB48" i="3"/>
  <c r="AC48" i="3"/>
  <c r="AB60" i="7"/>
  <c r="AA60" i="7"/>
  <c r="AB49" i="3"/>
  <c r="AA49" i="3"/>
  <c r="AC49" i="3"/>
  <c r="AB61" i="7"/>
  <c r="AA61" i="7"/>
  <c r="AB50" i="3"/>
  <c r="AA50" i="3"/>
  <c r="AC50" i="3"/>
  <c r="AB62" i="7"/>
  <c r="AA62" i="7"/>
  <c r="AA51" i="3"/>
  <c r="AB51" i="3"/>
  <c r="AC51" i="3"/>
  <c r="AB52" i="3"/>
  <c r="AA52" i="3"/>
  <c r="AC52" i="3"/>
  <c r="AA53" i="3"/>
  <c r="AB53" i="3"/>
  <c r="AC53" i="3"/>
  <c r="AA54" i="3"/>
  <c r="AB54" i="3"/>
  <c r="AC54" i="3"/>
  <c r="AB55" i="3"/>
  <c r="AA55" i="3"/>
  <c r="Q53" i="3"/>
  <c r="AC55" i="3"/>
  <c r="Q41" i="3"/>
  <c r="AA56" i="3"/>
  <c r="AB56" i="3"/>
  <c r="B28" i="5"/>
  <c r="Q50" i="3"/>
  <c r="AD50" i="3"/>
  <c r="R19" i="3"/>
  <c r="R22" i="3"/>
  <c r="AD59" i="3"/>
  <c r="AD46" i="3"/>
  <c r="AD61" i="3"/>
  <c r="AD41" i="3"/>
  <c r="AD58" i="3"/>
  <c r="AD54" i="3"/>
  <c r="AD49" i="3"/>
  <c r="AD52" i="3"/>
  <c r="AD51" i="3"/>
  <c r="AD40" i="3"/>
  <c r="AD43" i="3"/>
  <c r="AD53" i="3"/>
  <c r="AD60" i="3"/>
  <c r="AD62" i="3"/>
  <c r="AD48" i="3"/>
  <c r="AD39" i="3"/>
  <c r="AD55" i="3"/>
  <c r="AD42" i="3"/>
  <c r="AD47" i="3"/>
  <c r="AD57" i="3"/>
  <c r="AD44" i="3"/>
  <c r="AD45" i="3"/>
  <c r="AD56" i="3"/>
  <c r="AC56" i="3"/>
  <c r="AA57" i="3"/>
  <c r="AB57" i="3"/>
  <c r="R68" i="3"/>
  <c r="C68" i="3"/>
  <c r="C46" i="2"/>
  <c r="AC57" i="3"/>
  <c r="AA58" i="3"/>
  <c r="AB58" i="3"/>
  <c r="AC58" i="3"/>
  <c r="AB59" i="3"/>
  <c r="AA59" i="3"/>
  <c r="AC59" i="3"/>
  <c r="AB60" i="3"/>
  <c r="AA60" i="3"/>
  <c r="AC60" i="3"/>
  <c r="AA61" i="3"/>
  <c r="AB61" i="3"/>
  <c r="AC61" i="3"/>
  <c r="AA62" i="3"/>
  <c r="AB62" i="3"/>
  <c r="C19" i="3"/>
  <c r="AC62" i="3"/>
  <c r="C66" i="3"/>
  <c r="C22" i="6"/>
  <c r="A31" i="2"/>
  <c r="F23" i="5"/>
  <c r="B26" i="5"/>
  <c r="B30" i="5"/>
  <c r="C18" i="6"/>
  <c r="C20" i="6"/>
  <c r="C22" i="3"/>
  <c r="C44" i="2"/>
  <c r="C67" i="3"/>
  <c r="C45" i="2"/>
  <c r="C26" i="5"/>
  <c r="B29" i="5"/>
  <c r="B31" i="5"/>
  <c r="Z41" i="7" l="1"/>
  <c r="Z42" i="7" s="1"/>
  <c r="Z43" i="7" s="1"/>
  <c r="Z44" i="7" s="1"/>
  <c r="Z45" i="7" s="1"/>
  <c r="Z46" i="7" s="1"/>
  <c r="Z47" i="7" s="1"/>
  <c r="Z48" i="7" s="1"/>
  <c r="Z49" i="7" s="1"/>
  <c r="Z50" i="7" s="1"/>
  <c r="Z51" i="7" s="1"/>
  <c r="Z52" i="7" s="1"/>
  <c r="Z53" i="7" s="1"/>
  <c r="Z54" i="7" s="1"/>
  <c r="Z55" i="7" s="1"/>
  <c r="Z56" i="7" s="1"/>
  <c r="Z57" i="7" s="1"/>
  <c r="Z58" i="7" s="1"/>
  <c r="Z59" i="7" s="1"/>
  <c r="Z60" i="7" s="1"/>
  <c r="Z61" i="7" s="1"/>
  <c r="Z62" i="7" s="1"/>
  <c r="F23" i="9"/>
  <c r="F22" i="9"/>
  <c r="F21" i="9"/>
  <c r="D22" i="9"/>
  <c r="C22" i="7"/>
  <c r="C9" i="7"/>
  <c r="C21" i="7"/>
  <c r="C102" i="12" s="1"/>
  <c r="C18" i="10" s="1"/>
  <c r="E106" i="12"/>
  <c r="C22" i="10"/>
  <c r="D34" i="7"/>
  <c r="D35" i="7" s="1"/>
  <c r="C17" i="7"/>
  <c r="C104" i="12" s="1"/>
  <c r="C20" i="10" s="1"/>
  <c r="C66" i="7"/>
  <c r="D44" i="7"/>
  <c r="C50" i="12"/>
  <c r="B28" i="9" l="1"/>
  <c r="C10" i="7"/>
  <c r="C110" i="12" a="1"/>
  <c r="C110" i="12" s="1"/>
  <c r="C67" i="7"/>
  <c r="C112" i="12" s="1" a="1"/>
  <c r="C112" i="12" s="1"/>
  <c r="Q38" i="7"/>
  <c r="C68" i="7" s="1"/>
  <c r="C114" i="12" s="1" a="1"/>
  <c r="C114" i="12" s="1"/>
  <c r="D39" i="7"/>
  <c r="F20" i="9" s="1"/>
  <c r="B26" i="9" s="1"/>
  <c r="B31" i="9" l="1"/>
  <c r="B30" i="9"/>
  <c r="C26" i="9"/>
  <c r="B29" i="9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<sst xmlns="http://schemas.openxmlformats.org/spreadsheetml/2006/main" count="740" uniqueCount="379">
  <si>
    <t>Bridging Loan Calculator</t>
  </si>
  <si>
    <t>Please Update</t>
  </si>
  <si>
    <t>Calculated Field</t>
  </si>
  <si>
    <t>Enter Application Reference</t>
  </si>
  <si>
    <t>Application Reference</t>
  </si>
  <si>
    <t>BRI438954</t>
  </si>
  <si>
    <t>Title</t>
  </si>
  <si>
    <t>First Name</t>
  </si>
  <si>
    <t>Middle Name</t>
  </si>
  <si>
    <t>Surname</t>
  </si>
  <si>
    <t>Enter Case Owner</t>
  </si>
  <si>
    <t>Case Owner</t>
  </si>
  <si>
    <t>Richard</t>
  </si>
  <si>
    <t>Customer Name 1</t>
  </si>
  <si>
    <t>Mr</t>
  </si>
  <si>
    <t>Chris</t>
  </si>
  <si>
    <t>Borwick</t>
  </si>
  <si>
    <t>Select Proposed Exit</t>
  </si>
  <si>
    <t>Proposed Exit</t>
  </si>
  <si>
    <t>Refinance</t>
  </si>
  <si>
    <t>Customer Name 2</t>
  </si>
  <si>
    <t>Enter Proposed Exit, if Other was selected previously</t>
  </si>
  <si>
    <t>Proposed Exit - Other</t>
  </si>
  <si>
    <t>Customer Name 3</t>
  </si>
  <si>
    <t>Customer Name 4</t>
  </si>
  <si>
    <t>Select Product</t>
  </si>
  <si>
    <t>Product Selection</t>
  </si>
  <si>
    <t>Company Name</t>
  </si>
  <si>
    <t>Fee</t>
  </si>
  <si>
    <t>Select Loan Purpose</t>
  </si>
  <si>
    <t>Loan Purpose</t>
  </si>
  <si>
    <t>Purchase</t>
  </si>
  <si>
    <t>Packager</t>
  </si>
  <si>
    <t>Capital B</t>
  </si>
  <si>
    <t>Select Scheme</t>
  </si>
  <si>
    <t>Scheme</t>
  </si>
  <si>
    <t>Network</t>
  </si>
  <si>
    <t>Select Valuer</t>
  </si>
  <si>
    <t>Valuer</t>
  </si>
  <si>
    <t>Mortgage Club</t>
  </si>
  <si>
    <t>1000000 * 70% - 547000 = 153000</t>
  </si>
  <si>
    <t>Stage 2</t>
  </si>
  <si>
    <t>Stage 3</t>
  </si>
  <si>
    <t>Stage 4</t>
  </si>
  <si>
    <t>Broker Firm</t>
  </si>
  <si>
    <t>Enter Loan Required</t>
  </si>
  <si>
    <t>Net Loan Advance</t>
  </si>
  <si>
    <t>Enter Advance Date</t>
  </si>
  <si>
    <t>Advance Date</t>
  </si>
  <si>
    <t>Purchase Price</t>
  </si>
  <si>
    <t>OMV</t>
  </si>
  <si>
    <t>Balance Outstanding</t>
  </si>
  <si>
    <t>Security Maximum Allowable Debt (Pre‑LTV)</t>
  </si>
  <si>
    <t>Available Equity</t>
  </si>
  <si>
    <t xml:space="preserve">First Charge </t>
  </si>
  <si>
    <t>Eligible Security</t>
  </si>
  <si>
    <t>Maturity Date</t>
  </si>
  <si>
    <t>Property 1</t>
  </si>
  <si>
    <t>Y</t>
  </si>
  <si>
    <t>(loan size - 75% up to £1m, 70% up to £3.5m and up to 70% if 2nd Charge)</t>
  </si>
  <si>
    <t>LTV (Origination)</t>
  </si>
  <si>
    <t>Property 2</t>
  </si>
  <si>
    <t>N</t>
  </si>
  <si>
    <t>Enter Loan Term in months</t>
  </si>
  <si>
    <t>Loan Term Months</t>
  </si>
  <si>
    <t>Property 3</t>
  </si>
  <si>
    <t>Enter Number of Stage Payments</t>
  </si>
  <si>
    <t>Number of Stage Payments</t>
  </si>
  <si>
    <t>Property 4</t>
  </si>
  <si>
    <t>Interest Rate</t>
  </si>
  <si>
    <t>Property 5</t>
  </si>
  <si>
    <t>Select Interest Scheme</t>
  </si>
  <si>
    <t>Interest Scheme</t>
  </si>
  <si>
    <t>Rolled</t>
  </si>
  <si>
    <t>Property 6</t>
  </si>
  <si>
    <t>Rolled Interest Total</t>
  </si>
  <si>
    <t>Property 7</t>
  </si>
  <si>
    <t>Gross Loan Amount</t>
  </si>
  <si>
    <t>Property 8</t>
  </si>
  <si>
    <t>LTV (Over Term)</t>
  </si>
  <si>
    <t>Property 9</t>
  </si>
  <si>
    <t>Max LTV</t>
  </si>
  <si>
    <t>Property 10</t>
  </si>
  <si>
    <t>Monthly Payment</t>
  </si>
  <si>
    <t xml:space="preserve"> </t>
  </si>
  <si>
    <t>Added to the Loan</t>
  </si>
  <si>
    <t>Broker Fee (Stage 1)</t>
  </si>
  <si>
    <t>No</t>
  </si>
  <si>
    <t>Legal Fees</t>
  </si>
  <si>
    <t>Valuation Fees</t>
  </si>
  <si>
    <t>Packager Fee</t>
  </si>
  <si>
    <t>Separate Rep</t>
  </si>
  <si>
    <t>Joint Rep</t>
  </si>
  <si>
    <t>Purchase Price/Estimated Value (Up to)</t>
  </si>
  <si>
    <t>Standard/Light Refurb</t>
  </si>
  <si>
    <t>Heavy Refurb/HMO/MUFB</t>
  </si>
  <si>
    <t>Facility Fee</t>
  </si>
  <si>
    <t>Yes</t>
  </si>
  <si>
    <t xml:space="preserve">Purchase  </t>
  </si>
  <si>
    <t>Remortgage</t>
  </si>
  <si>
    <t>£100,000</t>
  </si>
  <si>
    <t>£150.00</t>
  </si>
  <si>
    <t>£450.00</t>
  </si>
  <si>
    <t>TT Fee</t>
  </si>
  <si>
    <t>Loan amount</t>
  </si>
  <si>
    <t>Legal Fee</t>
  </si>
  <si>
    <t>£150,000</t>
  </si>
  <si>
    <t>£175.00</t>
  </si>
  <si>
    <t>Admin Fee</t>
  </si>
  <si>
    <t>£0 - £250,000</t>
  </si>
  <si>
    <t>£1,000</t>
  </si>
  <si>
    <t>£900</t>
  </si>
  <si>
    <t>£1,100</t>
  </si>
  <si>
    <t>£1,050</t>
  </si>
  <si>
    <t>£200,000</t>
  </si>
  <si>
    <t>£200.00</t>
  </si>
  <si>
    <t>£465.00</t>
  </si>
  <si>
    <t>(Calculated against OMV as per valuer scale)</t>
  </si>
  <si>
    <t>Valuation Fee</t>
  </si>
  <si>
    <t>£250,001 - £500,000</t>
  </si>
  <si>
    <t>£1,200</t>
  </si>
  <si>
    <t>£250,000</t>
  </si>
  <si>
    <t>£225.00</t>
  </si>
  <si>
    <t>(Calculated against total facility Inc. fees and rolled interest)</t>
  </si>
  <si>
    <t>£500,001 - £750,000</t>
  </si>
  <si>
    <t>£1,300</t>
  </si>
  <si>
    <t>£1,350</t>
  </si>
  <si>
    <t>£300,000</t>
  </si>
  <si>
    <t>£250.00</t>
  </si>
  <si>
    <t>£535.00</t>
  </si>
  <si>
    <t>Added at redemption only</t>
  </si>
  <si>
    <t>Redemption Fee</t>
  </si>
  <si>
    <t>Not Capitalised, paid at the end of term</t>
  </si>
  <si>
    <t>£750,001 - £1,000,000</t>
  </si>
  <si>
    <t>£1,500</t>
  </si>
  <si>
    <t>£350,000</t>
  </si>
  <si>
    <t>£275.00</t>
  </si>
  <si>
    <t>£595.00</t>
  </si>
  <si>
    <t>£1,000,001 - plus</t>
  </si>
  <si>
    <t>Quote</t>
  </si>
  <si>
    <t>£400,000</t>
  </si>
  <si>
    <t>£300.00</t>
  </si>
  <si>
    <t>Total Amount Payable</t>
  </si>
  <si>
    <t>£450,000</t>
  </si>
  <si>
    <t>£325.00</t>
  </si>
  <si>
    <t>£655.00</t>
  </si>
  <si>
    <t>Cost Per £ Borrowed</t>
  </si>
  <si>
    <t>£500,000</t>
  </si>
  <si>
    <t>£350.00</t>
  </si>
  <si>
    <t>APRC</t>
  </si>
  <si>
    <t>Additional Legal Fees</t>
  </si>
  <si>
    <t>£600,000</t>
  </si>
  <si>
    <t>£485.00</t>
  </si>
  <si>
    <t>£720.00</t>
  </si>
  <si>
    <t>Fee Type</t>
  </si>
  <si>
    <t>£700,000</t>
  </si>
  <si>
    <t>£585.00</t>
  </si>
  <si>
    <t>£780.00</t>
  </si>
  <si>
    <t xml:space="preserve">New build </t>
  </si>
  <si>
    <t>£250</t>
  </si>
  <si>
    <t>£800,000</t>
  </si>
  <si>
    <t>£650.00</t>
  </si>
  <si>
    <t>£890.00</t>
  </si>
  <si>
    <t>Other Capitalised Fee's</t>
  </si>
  <si>
    <t>Enter Loan Amount</t>
  </si>
  <si>
    <t>Interest</t>
  </si>
  <si>
    <t>Total</t>
  </si>
  <si>
    <t>Variance</t>
  </si>
  <si>
    <t>Auction Fee</t>
  </si>
  <si>
    <t>£900,000</t>
  </si>
  <si>
    <t>£710.00</t>
  </si>
  <si>
    <t>£965.00</t>
  </si>
  <si>
    <t>Addition Security (each)</t>
  </si>
  <si>
    <t>£350</t>
  </si>
  <si>
    <t>£1,000,000</t>
  </si>
  <si>
    <t>£825.00</t>
  </si>
  <si>
    <t>£1,035.00</t>
  </si>
  <si>
    <t>Company Fee</t>
  </si>
  <si>
    <t>£150</t>
  </si>
  <si>
    <t>£1,500,000</t>
  </si>
  <si>
    <t>£1,225.00</t>
  </si>
  <si>
    <t>£1,435.00</t>
  </si>
  <si>
    <t>£2,000,000</t>
  </si>
  <si>
    <t>£1,625.00</t>
  </si>
  <si>
    <t>£1,835.00</t>
  </si>
  <si>
    <t>£2,500,000</t>
  </si>
  <si>
    <t>£1,925.00</t>
  </si>
  <si>
    <t>£2,500.00</t>
  </si>
  <si>
    <t>£3,000,000</t>
  </si>
  <si>
    <t>£2,225.00</t>
  </si>
  <si>
    <t>£3,000.00</t>
  </si>
  <si>
    <t>£3,500,000</t>
  </si>
  <si>
    <t>£2,725.00</t>
  </si>
  <si>
    <t>£3,500.00</t>
  </si>
  <si>
    <t>£4,000,000</t>
  </si>
  <si>
    <t>£3,125.00</t>
  </si>
  <si>
    <t>£4,000.00</t>
  </si>
  <si>
    <t>£4,500,000</t>
  </si>
  <si>
    <t>£3,425.00</t>
  </si>
  <si>
    <t>£4,500.00</t>
  </si>
  <si>
    <t>£5,000,000</t>
  </si>
  <si>
    <t>£3,725.00</t>
  </si>
  <si>
    <t>£5,000.00</t>
  </si>
  <si>
    <t>Reinspection</t>
  </si>
  <si>
    <t>Redemption Statement</t>
  </si>
  <si>
    <t>Customer Name</t>
  </si>
  <si>
    <t>Redemption Date</t>
  </si>
  <si>
    <t>Redemption Month</t>
  </si>
  <si>
    <t>Disbursement</t>
  </si>
  <si>
    <t>Distribution Date</t>
  </si>
  <si>
    <t>Original Balance</t>
  </si>
  <si>
    <t>Current Interest Rate</t>
  </si>
  <si>
    <t>Total Payable</t>
  </si>
  <si>
    <t>Stage 1</t>
  </si>
  <si>
    <t xml:space="preserve">Stage 2 </t>
  </si>
  <si>
    <t>Daily Interest</t>
  </si>
  <si>
    <t>If paid on Redemption date +1 day</t>
  </si>
  <si>
    <t>If paid on Redemption date +2 days</t>
  </si>
  <si>
    <t>If paid on Redemption date +3 days</t>
  </si>
  <si>
    <t>Feature</t>
  </si>
  <si>
    <t>Rolled Interest</t>
  </si>
  <si>
    <t>Serviced</t>
  </si>
  <si>
    <t>Term (Months)</t>
  </si>
  <si>
    <t>Maturity</t>
  </si>
  <si>
    <t>Prop value (Inc 1st Charge OB)</t>
  </si>
  <si>
    <t>LTV</t>
  </si>
  <si>
    <t>Interest Rate (annual)</t>
  </si>
  <si>
    <t>Interest Rate (monthly)</t>
  </si>
  <si>
    <t xml:space="preserve">Admin &amp; TT fee </t>
  </si>
  <si>
    <t>Facility Fee (2%) (on NET Advance)</t>
  </si>
  <si>
    <t>Loan Requested</t>
  </si>
  <si>
    <t>Net Advance (Disbursement to Customer)</t>
  </si>
  <si>
    <t>Total Loan on account start (NET Advance + Fee's)</t>
  </si>
  <si>
    <t>Monthly Payments</t>
  </si>
  <si>
    <t>NONE</t>
  </si>
  <si>
    <t xml:space="preserve">End of term payment </t>
  </si>
  <si>
    <t>Interest Handling</t>
  </si>
  <si>
    <t>Compounded (Inc. Fee's) Accrued Daily, Applied Monthly &amp; added to the loan
Deducted upfront from the Available Equity</t>
  </si>
  <si>
    <t>Accrued Daily, Applied Monthly  (Inc. Fee's)</t>
  </si>
  <si>
    <t>Interest Accrued during term</t>
  </si>
  <si>
    <t>Rolled Calculator EXAMPLE</t>
  </si>
  <si>
    <t>Serviced Calculator EXAMPLE</t>
  </si>
  <si>
    <t>Advance</t>
  </si>
  <si>
    <t>Net Loan</t>
  </si>
  <si>
    <t>Admin &amp; TT fee</t>
  </si>
  <si>
    <t>Broker fee</t>
  </si>
  <si>
    <t>Broker fee?</t>
  </si>
  <si>
    <t>Packager fee</t>
  </si>
  <si>
    <t>Total loan</t>
  </si>
  <si>
    <t>Cash Flow</t>
  </si>
  <si>
    <t xml:space="preserve">Daily Interest </t>
  </si>
  <si>
    <t>Gross Loan</t>
  </si>
  <si>
    <t>Monthly £</t>
  </si>
  <si>
    <t>Total LTV</t>
  </si>
  <si>
    <t>Product Description</t>
  </si>
  <si>
    <t>Product Code</t>
  </si>
  <si>
    <t>Product Type</t>
  </si>
  <si>
    <t>Annual Rate</t>
  </si>
  <si>
    <t>Monthly Rate</t>
  </si>
  <si>
    <t xml:space="preserve">Decision in principle terms </t>
  </si>
  <si>
    <t>Account number</t>
  </si>
  <si>
    <t>Customer name</t>
  </si>
  <si>
    <t>Purchase/Remortgage</t>
  </si>
  <si>
    <t>Total security valuation</t>
  </si>
  <si>
    <t>Payment type</t>
  </si>
  <si>
    <t>Net loan amount</t>
  </si>
  <si>
    <t>Rolled interest (full term)</t>
  </si>
  <si>
    <t>Gross loan amount</t>
  </si>
  <si>
    <t>Gross LTV</t>
  </si>
  <si>
    <t>Term (months)</t>
  </si>
  <si>
    <t>Estimated monthly payments</t>
  </si>
  <si>
    <t>Monthly interest rate</t>
  </si>
  <si>
    <t>Facility fee</t>
  </si>
  <si>
    <t>Exit fee</t>
  </si>
  <si>
    <t>£N/A</t>
  </si>
  <si>
    <t>Monthly interest rate and loan amounts are indicative only until a fully completed application is received and underwritten.</t>
  </si>
  <si>
    <t>CHL Mortgages</t>
  </si>
  <si>
    <t>Upfront fees</t>
  </si>
  <si>
    <t>Valuation fee (for all properties offered as security)</t>
  </si>
  <si>
    <t>Fees paid upon completion</t>
  </si>
  <si>
    <t>Application fee</t>
  </si>
  <si>
    <t>Telegraphic transer fee</t>
  </si>
  <si>
    <t>Other fees</t>
  </si>
  <si>
    <t>Redemption administration fee</t>
  </si>
  <si>
    <t>Fees payable to intermediary</t>
  </si>
  <si>
    <t>Broker advice fee payable by the borrower to the broker</t>
  </si>
  <si>
    <t xml:space="preserve">Broker advice fee payable  </t>
  </si>
  <si>
    <t>Application/Offer/Completion N/a</t>
  </si>
  <si>
    <t>Added to the loan and paid by us at completion</t>
  </si>
  <si>
    <t>Packager fee payable by the borrower to the packager</t>
  </si>
  <si>
    <t xml:space="preserve">Packager fee payable   </t>
  </si>
  <si>
    <t>Gross procuration and distributor fee paid by CHL Mortgages to the introducer of the loan</t>
  </si>
  <si>
    <t>Percentage procuration fee</t>
  </si>
  <si>
    <t>Enter {fee format}%</t>
  </si>
  <si>
    <t>Estimated lender legal fee</t>
  </si>
  <si>
    <t>The legal fee is an estimate and does not include disbursements. To obtain a detailed quote, please contact your chosen lender solicitor for a breakdown of the total costs. If you're using your own solicitor for this transaction, you'll be liable for those costs as well.</t>
  </si>
  <si>
    <t>CHL Mortgages is used under licence by CHL Mortgages for Intermediaries Limited.
Registered office: Chetwood Bank, Ellice Way, Wrexham Technology Park, Wrexham, LL13 7YT.</t>
  </si>
  <si>
    <t>Connells</t>
  </si>
  <si>
    <t>Bridging calculator</t>
  </si>
  <si>
    <t>Introducer details</t>
  </si>
  <si>
    <t>Packager firm name</t>
  </si>
  <si>
    <t>Network name</t>
  </si>
  <si>
    <t>Mortgage club name</t>
  </si>
  <si>
    <t>Broker firm</t>
  </si>
  <si>
    <t>Intermediary name</t>
  </si>
  <si>
    <t>Customer details</t>
  </si>
  <si>
    <t>Customer 1</t>
  </si>
  <si>
    <t>Customer 2</t>
  </si>
  <si>
    <t>Customer 3</t>
  </si>
  <si>
    <t>Customer 4</t>
  </si>
  <si>
    <t>Full name</t>
  </si>
  <si>
    <t>Limited company name</t>
  </si>
  <si>
    <t>Application details</t>
  </si>
  <si>
    <t>Application reference</t>
  </si>
  <si>
    <t>Case owner</t>
  </si>
  <si>
    <t>Proposed exit strategy</t>
  </si>
  <si>
    <t>If 'Other', please specify</t>
  </si>
  <si>
    <t>Product selection</t>
  </si>
  <si>
    <t>Standard bridging 50% LTV</t>
  </si>
  <si>
    <t>Loan purpose</t>
  </si>
  <si>
    <t>Standard bridging</t>
  </si>
  <si>
    <t>Advance date</t>
  </si>
  <si>
    <t>Loan term (months)</t>
  </si>
  <si>
    <t>Maturity date</t>
  </si>
  <si>
    <t>Number of stage payments</t>
  </si>
  <si>
    <t>Fees</t>
  </si>
  <si>
    <t>Added to the loan?</t>
  </si>
  <si>
    <t>Broker fee (Stage 1)</t>
  </si>
  <si>
    <t>TT fee</t>
  </si>
  <si>
    <t>Valuation fee</t>
  </si>
  <si>
    <t>Paid on application</t>
  </si>
  <si>
    <t>Estimated legal fee</t>
  </si>
  <si>
    <t>Estimated costs paid to solictor during the transaction</t>
  </si>
  <si>
    <t>Redemption fee</t>
  </si>
  <si>
    <t>Paid at the end of term</t>
  </si>
  <si>
    <t>Security details</t>
  </si>
  <si>
    <t>Purchase price</t>
  </si>
  <si>
    <t>Balance outstanding</t>
  </si>
  <si>
    <t>First charge?</t>
  </si>
  <si>
    <t>Open market value</t>
  </si>
  <si>
    <t>Purchase property</t>
  </si>
  <si>
    <t>Available equity</t>
  </si>
  <si>
    <t>Additional security 1</t>
  </si>
  <si>
    <t>Additional security 2</t>
  </si>
  <si>
    <t>Additional security 3</t>
  </si>
  <si>
    <t>Additional security 4</t>
  </si>
  <si>
    <t>Additional security 5</t>
  </si>
  <si>
    <t>Additional security 6</t>
  </si>
  <si>
    <t>Additional security 7</t>
  </si>
  <si>
    <t>Additional security 8</t>
  </si>
  <si>
    <t>Additional security 9</t>
  </si>
  <si>
    <t>Annual interest rate</t>
  </si>
  <si>
    <t>Repayment method</t>
  </si>
  <si>
    <t>Rolled interest total:</t>
  </si>
  <si>
    <t>Gross loan amount:</t>
  </si>
  <si>
    <t>LTV:</t>
  </si>
  <si>
    <t>Total amount payable:</t>
  </si>
  <si>
    <t>Cost per £ borrowed:</t>
  </si>
  <si>
    <t>APRC:</t>
  </si>
  <si>
    <t>Please select</t>
  </si>
  <si>
    <t>Standard bridging 55% LTV</t>
  </si>
  <si>
    <t>Standard bridging 60% LTV</t>
  </si>
  <si>
    <t>Standard bridging 65% LTV</t>
  </si>
  <si>
    <t>Standard bridging 70% LTV</t>
  </si>
  <si>
    <t>Standard bridging 75% LTV</t>
  </si>
  <si>
    <t>Light refurbishment 50% LTV</t>
  </si>
  <si>
    <t>Light refurbishment 55% LTV</t>
  </si>
  <si>
    <t>Light refurbishment 60% LTV</t>
  </si>
  <si>
    <t>Light refurbishment 65% LTV</t>
  </si>
  <si>
    <t>Light refurbishment 70% LTV</t>
  </si>
  <si>
    <t>Light refurbishment 75% LTV</t>
  </si>
  <si>
    <t>Heavy refurbishment 50% LTV</t>
  </si>
  <si>
    <t>Heavy refurbishment 55% LTV</t>
  </si>
  <si>
    <t>Heavy refurbishment 60% LTV</t>
  </si>
  <si>
    <t>Heavy refurbishment 65% LTV</t>
  </si>
  <si>
    <t>Heavy refurbishment 70% LTV</t>
  </si>
  <si>
    <t>Standard</t>
  </si>
  <si>
    <t>If you're charging a broker advice fee when is this payable?</t>
  </si>
  <si>
    <t>If you're charging a packager fee when is this payable?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</si>
</sst>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£&quot;#,##0;\-&quot;£&quot;#,##0"/>
    <numFmt numFmtId="165" formatCode="&quot;£&quot;#,##0;[Red]\-&quot;£&quot;#,##0"/>
    <numFmt numFmtId="166" formatCode="&quot;£&quot;#,##0.00;[Red]\-&quot;£&quot;#,##0.00"/>
    <numFmt numFmtId="167" formatCode="_-&quot;£&quot;* #,##0_-;\-&quot;£&quot;* #,##0_-;_-&quot;£&quot;* &quot;-&quot;_-;_-@_-"/>
    <numFmt numFmtId="168" formatCode="_-&quot;£&quot;* #,##0.00_-;\-&quot;£&quot;* #,##0.00_-;_-&quot;£&quot;* &quot;-&quot;??_-;_-@_-"/>
    <numFmt numFmtId="169" formatCode="_-* #,##0.00_-;\-* #,##0.00_-;_-* &quot;-&quot;??_-;_-@_-"/>
    <numFmt numFmtId="170" formatCode="_-&quot;£&quot;* #,##0_-;\-&quot;£&quot;* #,##0_-;_-&quot;£&quot;* &quot;-&quot;??_-;_-@_-"/>
    <numFmt numFmtId="171" formatCode="&quot;£&quot;#,##0.00"/>
    <numFmt numFmtId="172" formatCode="0.0000"/>
    <numFmt numFmtId="173" formatCode="0.000000000000000000%"/>
    <numFmt numFmtId="174" formatCode="&quot;£&quot;#,##0"/>
  </numFmts>
  <fonts count="5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Montserrat"/>
    </font>
    <font>
      <b/>
      <sz val="10"/>
      <color theme="0"/>
      <name val="Montserrat"/>
    </font>
    <font>
      <sz val="11"/>
      <color theme="1"/>
      <name val="DM Sans Light"/>
    </font>
    <font>
      <b/>
      <sz val="11"/>
      <color theme="0"/>
      <name val="DM Sans Light"/>
    </font>
    <font>
      <i/>
      <sz val="11"/>
      <color theme="1"/>
      <name val="DM Sans Light"/>
    </font>
    <font>
      <sz val="11"/>
      <color theme="0"/>
      <name val="DM Sans Light"/>
    </font>
    <font>
      <sz val="11"/>
      <name val="DM Sans Light"/>
    </font>
    <font>
      <b/>
      <sz val="11"/>
      <color theme="1"/>
      <name val="DM Sans Light"/>
    </font>
    <font>
      <i/>
      <sz val="10"/>
      <color theme="1"/>
      <name val="DM Sans Light"/>
    </font>
    <font>
      <b/>
      <u/>
      <sz val="11"/>
      <color theme="1"/>
      <name val="DM Sans Light"/>
    </font>
    <font>
      <b/>
      <u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2"/>
      <color theme="1"/>
      <name val="DM Sans Light"/>
    </font>
    <font>
      <b/>
      <sz val="1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trike/>
      <sz val="11"/>
      <name val="DM Sans Light"/>
    </font>
    <font>
      <b/>
      <i/>
      <sz val="10"/>
      <color theme="1"/>
      <name val="DM Sans Light"/>
    </font>
    <font>
      <sz val="9"/>
      <color theme="1"/>
      <name val="DM Sans Light"/>
    </font>
    <font>
      <sz val="10"/>
      <color theme="1"/>
      <name val="Arial Unicode MS"/>
    </font>
    <font>
      <sz val="11"/>
      <color theme="1"/>
      <name val="Segoe UI"/>
      <family val="2"/>
    </font>
    <font>
      <sz val="8"/>
      <color theme="1"/>
      <name val="DM Sans Light"/>
    </font>
    <font>
      <i/>
      <sz val="9"/>
      <color theme="1"/>
      <name val="DM Sans Light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4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i/>
      <sz val="14"/>
      <color theme="1"/>
      <name val="Arial"/>
      <family val="2"/>
    </font>
    <font>
      <b/>
      <sz val="13.5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00C8C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F9ED5"/>
        <bgColor indexed="64"/>
      </patternFill>
    </fill>
    <fill>
      <patternFill patternType="solid">
        <fgColor theme="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9" tint="0.79995117038483843"/>
      </left>
      <right style="thin">
        <color theme="9" tint="0.79995117038483843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9" tint="0.79995117038483843"/>
      </left>
      <right style="thin">
        <color theme="9" tint="0.79995117038483843"/>
      </right>
      <top/>
      <bottom style="thin">
        <color theme="9" tint="0.79995117038483843"/>
      </bottom>
      <diagonal/>
    </border>
    <border>
      <left style="thin">
        <color theme="9" tint="0.79995117038483843"/>
      </left>
      <right style="thin">
        <color theme="9" tint="0.79995117038483843"/>
      </right>
      <top style="thin">
        <color theme="9" tint="0.79995117038483843"/>
      </top>
      <bottom style="thin">
        <color theme="9" tint="0.79995117038483843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9" tint="0.7999511703848384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9" tint="0.79995117038483843"/>
      </right>
      <top/>
      <bottom/>
      <diagonal/>
    </border>
    <border>
      <left/>
      <right style="thin">
        <color theme="9" tint="0.79995117038483843"/>
      </right>
      <top style="thin">
        <color theme="9" tint="0.79995117038483843"/>
      </top>
      <bottom style="thin">
        <color theme="9" tint="0.7999511703848384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9" tint="0.79995117038483843"/>
      </right>
      <top/>
      <bottom style="thin">
        <color indexed="64"/>
      </bottom>
      <diagonal/>
    </border>
    <border>
      <left style="thin">
        <color theme="9" tint="0.79995117038483843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indexed="64"/>
      </right>
      <top style="thin">
        <color theme="9" tint="0.79998168889431442"/>
      </top>
      <bottom style="thin">
        <color indexed="64"/>
      </bottom>
      <diagonal/>
    </border>
    <border>
      <left style="thin">
        <color theme="9" tint="0.79995117038483843"/>
      </left>
      <right/>
      <top/>
      <bottom/>
      <diagonal/>
    </border>
    <border>
      <left style="thin">
        <color theme="9" tint="0.79995117038483843"/>
      </left>
      <right style="thin">
        <color theme="9" tint="0.79995117038483843"/>
      </right>
      <top/>
      <bottom/>
      <diagonal/>
    </border>
    <border>
      <left/>
      <right style="thin">
        <color indexed="64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5117038483843"/>
      </left>
      <right/>
      <top/>
      <bottom style="thin">
        <color indexed="64"/>
      </bottom>
      <diagonal/>
    </border>
    <border>
      <left/>
      <right/>
      <top/>
      <bottom style="thin">
        <color theme="9" tint="0.79995117038483843"/>
      </bottom>
      <diagonal/>
    </border>
    <border>
      <left/>
      <right style="thin">
        <color indexed="64"/>
      </right>
      <top style="thin">
        <color theme="9" tint="0.79995117038483843"/>
      </top>
      <bottom style="thin">
        <color theme="9" tint="0.79995117038483843"/>
      </bottom>
      <diagonal/>
    </border>
    <border>
      <left/>
      <right style="thin">
        <color indexed="64"/>
      </right>
      <top/>
      <bottom style="thin">
        <color theme="9" tint="0.79995117038483843"/>
      </bottom>
      <diagonal/>
    </border>
    <border>
      <left/>
      <right/>
      <top style="thin">
        <color theme="9" tint="0.79995117038483843"/>
      </top>
      <bottom style="thin">
        <color theme="9" tint="0.79995117038483843"/>
      </bottom>
      <diagonal/>
    </border>
    <border>
      <left/>
      <right style="thin">
        <color theme="9" tint="0.79995117038483843"/>
      </right>
      <top style="thin">
        <color indexed="64"/>
      </top>
      <bottom/>
      <diagonal/>
    </border>
    <border>
      <left style="thin">
        <color theme="9" tint="0.79995117038483843"/>
      </left>
      <right style="thin">
        <color theme="9" tint="0.79995117038483843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4">
    <xf numFmtId="0" fontId="0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346">
    <xf numFmtId="0" fontId="0" fillId="0" borderId="0" xfId="0"/>
    <xf numFmtId="0" fontId="0" fillId="0" borderId="2" xfId="0" applyBorder="1"/>
    <xf numFmtId="0" fontId="0" fillId="0" borderId="3" xfId="0" applyBorder="1"/>
    <xf numFmtId="0" fontId="2" fillId="0" borderId="0" xfId="0" applyFont="1"/>
    <xf numFmtId="168" fontId="0" fillId="0" borderId="0" xfId="1" applyFont="1" applyBorder="1"/>
    <xf numFmtId="0" fontId="1" fillId="0" borderId="4" xfId="0" applyFont="1" applyBorder="1" applyAlignment="1">
      <alignment horizontal="center" vertical="top"/>
    </xf>
    <xf numFmtId="14" fontId="0" fillId="0" borderId="5" xfId="0" applyNumberFormat="1" applyBorder="1"/>
    <xf numFmtId="1" fontId="0" fillId="0" borderId="5" xfId="0" applyNumberFormat="1" applyBorder="1"/>
    <xf numFmtId="168" fontId="0" fillId="0" borderId="5" xfId="1" applyFont="1" applyBorder="1"/>
    <xf numFmtId="9" fontId="0" fillId="0" borderId="5" xfId="0" applyNumberFormat="1" applyBorder="1"/>
    <xf numFmtId="10" fontId="0" fillId="0" borderId="5" xfId="0" applyNumberFormat="1" applyBorder="1"/>
    <xf numFmtId="10" fontId="0" fillId="0" borderId="0" xfId="2" applyNumberFormat="1" applyFont="1" applyBorder="1"/>
    <xf numFmtId="168" fontId="0" fillId="0" borderId="0" xfId="0" applyNumberFormat="1"/>
    <xf numFmtId="10" fontId="0" fillId="0" borderId="5" xfId="2" applyNumberFormat="1" applyFont="1" applyBorder="1" applyAlignment="1">
      <alignment horizontal="right"/>
    </xf>
    <xf numFmtId="9" fontId="0" fillId="0" borderId="5" xfId="2" applyFont="1" applyBorder="1" applyAlignment="1">
      <alignment horizontal="right"/>
    </xf>
    <xf numFmtId="0" fontId="0" fillId="0" borderId="5" xfId="0" applyBorder="1" applyAlignment="1">
      <alignment horizontal="right"/>
    </xf>
    <xf numFmtId="168" fontId="0" fillId="0" borderId="6" xfId="1" applyFont="1" applyBorder="1"/>
    <xf numFmtId="0" fontId="0" fillId="0" borderId="7" xfId="0" applyBorder="1"/>
    <xf numFmtId="168" fontId="0" fillId="0" borderId="7" xfId="1" applyFont="1" applyBorder="1"/>
    <xf numFmtId="0" fontId="0" fillId="0" borderId="5" xfId="0" applyBorder="1"/>
    <xf numFmtId="0" fontId="0" fillId="0" borderId="6" xfId="0" applyBorder="1" applyAlignment="1">
      <alignment wrapText="1"/>
    </xf>
    <xf numFmtId="168" fontId="4" fillId="0" borderId="6" xfId="1" applyFont="1" applyBorder="1"/>
    <xf numFmtId="0" fontId="0" fillId="0" borderId="5" xfId="0" applyBorder="1" applyAlignment="1">
      <alignment wrapText="1"/>
    </xf>
    <xf numFmtId="170" fontId="0" fillId="0" borderId="5" xfId="1" applyNumberFormat="1" applyFont="1" applyBorder="1"/>
    <xf numFmtId="0" fontId="0" fillId="0" borderId="5" xfId="0" applyBorder="1" applyAlignment="1">
      <alignment horizontal="right" wrapText="1"/>
    </xf>
    <xf numFmtId="0" fontId="0" fillId="0" borderId="6" xfId="0" applyBorder="1"/>
    <xf numFmtId="168" fontId="0" fillId="0" borderId="6" xfId="1" applyFont="1" applyBorder="1" applyAlignment="1">
      <alignment horizontal="right"/>
    </xf>
    <xf numFmtId="168" fontId="0" fillId="3" borderId="0" xfId="0" applyNumberFormat="1" applyFill="1"/>
    <xf numFmtId="0" fontId="0" fillId="3" borderId="8" xfId="0" applyFill="1" applyBorder="1"/>
    <xf numFmtId="0" fontId="0" fillId="3" borderId="0" xfId="0" applyFill="1"/>
    <xf numFmtId="167" fontId="0" fillId="4" borderId="10" xfId="0" applyNumberFormat="1" applyFill="1" applyBorder="1"/>
    <xf numFmtId="0" fontId="3" fillId="3" borderId="12" xfId="0" applyFont="1" applyFill="1" applyBorder="1" applyAlignment="1">
      <alignment horizontal="center"/>
    </xf>
    <xf numFmtId="167" fontId="3" fillId="3" borderId="12" xfId="0" applyNumberFormat="1" applyFont="1" applyFill="1" applyBorder="1"/>
    <xf numFmtId="0" fontId="1" fillId="2" borderId="13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167" fontId="0" fillId="0" borderId="0" xfId="0" applyNumberFormat="1"/>
    <xf numFmtId="0" fontId="0" fillId="4" borderId="16" xfId="0" applyFill="1" applyBorder="1" applyAlignment="1">
      <alignment horizontal="center"/>
    </xf>
    <xf numFmtId="167" fontId="1" fillId="2" borderId="1" xfId="0" applyNumberFormat="1" applyFont="1" applyFill="1" applyBorder="1"/>
    <xf numFmtId="0" fontId="5" fillId="3" borderId="12" xfId="0" applyFont="1" applyFill="1" applyBorder="1"/>
    <xf numFmtId="0" fontId="0" fillId="4" borderId="1" xfId="0" applyFill="1" applyBorder="1" applyAlignment="1">
      <alignment horizontal="center" vertical="center"/>
    </xf>
    <xf numFmtId="168" fontId="0" fillId="4" borderId="10" xfId="0" applyNumberFormat="1" applyFill="1" applyBorder="1" applyAlignment="1">
      <alignment horizontal="center"/>
    </xf>
    <xf numFmtId="10" fontId="0" fillId="0" borderId="0" xfId="2" applyNumberFormat="1" applyFont="1"/>
    <xf numFmtId="0" fontId="0" fillId="3" borderId="12" xfId="0" applyFill="1" applyBorder="1"/>
    <xf numFmtId="0" fontId="0" fillId="3" borderId="17" xfId="0" applyFill="1" applyBorder="1"/>
    <xf numFmtId="0" fontId="0" fillId="3" borderId="18" xfId="0" applyFill="1" applyBorder="1"/>
    <xf numFmtId="0" fontId="11" fillId="7" borderId="19" xfId="0" applyFont="1" applyFill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10" fontId="11" fillId="0" borderId="19" xfId="0" applyNumberFormat="1" applyFont="1" applyBorder="1" applyAlignment="1">
      <alignment vertical="top" wrapText="1"/>
    </xf>
    <xf numFmtId="10" fontId="11" fillId="0" borderId="19" xfId="0" applyNumberFormat="1" applyFont="1" applyBorder="1" applyAlignment="1">
      <alignment horizontal="right" vertical="top" wrapText="1"/>
    </xf>
    <xf numFmtId="0" fontId="12" fillId="6" borderId="19" xfId="0" applyFont="1" applyFill="1" applyBorder="1" applyAlignment="1">
      <alignment horizontal="center" vertical="top" wrapText="1"/>
    </xf>
    <xf numFmtId="168" fontId="4" fillId="0" borderId="5" xfId="1" applyFont="1" applyBorder="1"/>
    <xf numFmtId="0" fontId="13" fillId="0" borderId="0" xfId="0" applyFont="1"/>
    <xf numFmtId="0" fontId="13" fillId="2" borderId="0" xfId="0" applyFont="1" applyFill="1"/>
    <xf numFmtId="0" fontId="13" fillId="3" borderId="0" xfId="0" applyFont="1" applyFill="1"/>
    <xf numFmtId="0" fontId="14" fillId="6" borderId="1" xfId="0" applyFont="1" applyFill="1" applyBorder="1"/>
    <xf numFmtId="0" fontId="15" fillId="0" borderId="0" xfId="0" applyFont="1"/>
    <xf numFmtId="0" fontId="16" fillId="6" borderId="1" xfId="0" applyFont="1" applyFill="1" applyBorder="1"/>
    <xf numFmtId="0" fontId="13" fillId="0" borderId="0" xfId="0" applyFont="1" applyAlignment="1">
      <alignment horizontal="right"/>
    </xf>
    <xf numFmtId="10" fontId="13" fillId="3" borderId="1" xfId="2" applyNumberFormat="1" applyFont="1" applyFill="1" applyBorder="1" applyAlignment="1">
      <alignment horizontal="right" wrapText="1"/>
    </xf>
    <xf numFmtId="0" fontId="16" fillId="6" borderId="1" xfId="0" applyFont="1" applyFill="1" applyBorder="1" applyAlignment="1">
      <alignment wrapText="1"/>
    </xf>
    <xf numFmtId="0" fontId="14" fillId="6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14" fontId="13" fillId="3" borderId="1" xfId="0" applyNumberFormat="1" applyFont="1" applyFill="1" applyBorder="1" applyAlignment="1">
      <alignment horizontal="right"/>
    </xf>
    <xf numFmtId="10" fontId="13" fillId="3" borderId="1" xfId="2" applyNumberFormat="1" applyFont="1" applyFill="1" applyBorder="1" applyAlignment="1">
      <alignment horizontal="right"/>
    </xf>
    <xf numFmtId="10" fontId="13" fillId="3" borderId="1" xfId="0" applyNumberFormat="1" applyFont="1" applyFill="1" applyBorder="1" applyAlignment="1">
      <alignment horizontal="right"/>
    </xf>
    <xf numFmtId="171" fontId="13" fillId="3" borderId="1" xfId="0" applyNumberFormat="1" applyFont="1" applyFill="1" applyBorder="1" applyAlignment="1">
      <alignment horizontal="right"/>
    </xf>
    <xf numFmtId="10" fontId="17" fillId="3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8" fillId="0" borderId="1" xfId="0" applyFont="1" applyBorder="1" applyAlignment="1">
      <alignment wrapText="1"/>
    </xf>
    <xf numFmtId="0" fontId="19" fillId="0" borderId="0" xfId="0" applyFont="1"/>
    <xf numFmtId="166" fontId="0" fillId="0" borderId="5" xfId="1" applyNumberFormat="1" applyFont="1" applyBorder="1"/>
    <xf numFmtId="0" fontId="20" fillId="0" borderId="0" xfId="0" applyFont="1"/>
    <xf numFmtId="0" fontId="18" fillId="0" borderId="0" xfId="0" applyFont="1" applyAlignment="1">
      <alignment wrapText="1"/>
    </xf>
    <xf numFmtId="0" fontId="6" fillId="0" borderId="0" xfId="0" applyFont="1"/>
    <xf numFmtId="0" fontId="0" fillId="4" borderId="0" xfId="0" applyFill="1" applyAlignment="1">
      <alignment horizontal="center"/>
    </xf>
    <xf numFmtId="0" fontId="9" fillId="3" borderId="0" xfId="0" applyFont="1" applyFill="1"/>
    <xf numFmtId="0" fontId="0" fillId="3" borderId="22" xfId="0" applyFill="1" applyBorder="1"/>
    <xf numFmtId="0" fontId="5" fillId="3" borderId="22" xfId="0" applyFont="1" applyFill="1" applyBorder="1"/>
    <xf numFmtId="10" fontId="0" fillId="3" borderId="8" xfId="0" applyNumberFormat="1" applyFill="1" applyBorder="1" applyAlignment="1">
      <alignment horizontal="center"/>
    </xf>
    <xf numFmtId="14" fontId="0" fillId="3" borderId="22" xfId="0" applyNumberFormat="1" applyFill="1" applyBorder="1"/>
    <xf numFmtId="0" fontId="1" fillId="5" borderId="14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0" fillId="3" borderId="24" xfId="0" applyFill="1" applyBorder="1"/>
    <xf numFmtId="0" fontId="0" fillId="3" borderId="25" xfId="0" applyFill="1" applyBorder="1"/>
    <xf numFmtId="0" fontId="0" fillId="4" borderId="26" xfId="0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5" fillId="3" borderId="27" xfId="0" applyFont="1" applyFill="1" applyBorder="1"/>
    <xf numFmtId="0" fontId="0" fillId="4" borderId="14" xfId="0" applyFill="1" applyBorder="1" applyAlignment="1">
      <alignment horizontal="center" vertical="center"/>
    </xf>
    <xf numFmtId="168" fontId="0" fillId="4" borderId="21" xfId="0" applyNumberFormat="1" applyFill="1" applyBorder="1" applyAlignment="1">
      <alignment horizontal="center"/>
    </xf>
    <xf numFmtId="0" fontId="0" fillId="3" borderId="27" xfId="0" applyFill="1" applyBorder="1"/>
    <xf numFmtId="0" fontId="0" fillId="3" borderId="28" xfId="0" applyFill="1" applyBorder="1"/>
    <xf numFmtId="0" fontId="5" fillId="3" borderId="28" xfId="0" applyFont="1" applyFill="1" applyBorder="1"/>
    <xf numFmtId="168" fontId="0" fillId="0" borderId="29" xfId="0" applyNumberFormat="1" applyBorder="1"/>
    <xf numFmtId="0" fontId="0" fillId="3" borderId="30" xfId="0" applyFill="1" applyBorder="1"/>
    <xf numFmtId="167" fontId="9" fillId="3" borderId="30" xfId="0" applyNumberFormat="1" applyFont="1" applyFill="1" applyBorder="1" applyAlignment="1">
      <alignment horizontal="center" vertical="center"/>
    </xf>
    <xf numFmtId="170" fontId="9" fillId="3" borderId="30" xfId="0" applyNumberFormat="1" applyFont="1" applyFill="1" applyBorder="1" applyAlignment="1">
      <alignment horizontal="center"/>
    </xf>
    <xf numFmtId="0" fontId="0" fillId="3" borderId="31" xfId="0" applyFill="1" applyBorder="1" applyAlignment="1">
      <alignment horizontal="center" vertical="center"/>
    </xf>
    <xf numFmtId="14" fontId="8" fillId="2" borderId="9" xfId="0" applyNumberFormat="1" applyFont="1" applyFill="1" applyBorder="1" applyAlignment="1">
      <alignment horizontal="center"/>
    </xf>
    <xf numFmtId="14" fontId="8" fillId="2" borderId="10" xfId="0" applyNumberFormat="1" applyFont="1" applyFill="1" applyBorder="1" applyAlignment="1">
      <alignment horizontal="center"/>
    </xf>
    <xf numFmtId="0" fontId="0" fillId="0" borderId="21" xfId="0" applyBorder="1"/>
    <xf numFmtId="0" fontId="21" fillId="0" borderId="0" xfId="0" applyFont="1"/>
    <xf numFmtId="167" fontId="3" fillId="3" borderId="32" xfId="0" applyNumberFormat="1" applyFont="1" applyFill="1" applyBorder="1"/>
    <xf numFmtId="0" fontId="0" fillId="3" borderId="32" xfId="0" applyFill="1" applyBorder="1"/>
    <xf numFmtId="14" fontId="0" fillId="4" borderId="10" xfId="0" applyNumberForma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5" fillId="3" borderId="33" xfId="0" applyFont="1" applyFill="1" applyBorder="1"/>
    <xf numFmtId="0" fontId="5" fillId="3" borderId="35" xfId="0" applyFont="1" applyFill="1" applyBorder="1"/>
    <xf numFmtId="10" fontId="0" fillId="3" borderId="34" xfId="0" applyNumberFormat="1" applyFill="1" applyBorder="1"/>
    <xf numFmtId="0" fontId="0" fillId="3" borderId="36" xfId="0" applyFill="1" applyBorder="1"/>
    <xf numFmtId="0" fontId="0" fillId="3" borderId="37" xfId="0" applyFill="1" applyBorder="1"/>
    <xf numFmtId="0" fontId="0" fillId="3" borderId="38" xfId="0" applyFill="1" applyBorder="1"/>
    <xf numFmtId="0" fontId="0" fillId="3" borderId="39" xfId="0" applyFill="1" applyBorder="1"/>
    <xf numFmtId="172" fontId="0" fillId="0" borderId="0" xfId="0" applyNumberFormat="1"/>
    <xf numFmtId="173" fontId="0" fillId="0" borderId="0" xfId="0" applyNumberFormat="1"/>
    <xf numFmtId="167" fontId="8" fillId="4" borderId="9" xfId="0" applyNumberFormat="1" applyFont="1" applyFill="1" applyBorder="1"/>
    <xf numFmtId="0" fontId="8" fillId="4" borderId="15" xfId="0" applyFont="1" applyFill="1" applyBorder="1" applyAlignment="1">
      <alignment horizontal="center"/>
    </xf>
    <xf numFmtId="167" fontId="7" fillId="3" borderId="32" xfId="0" applyNumberFormat="1" applyFont="1" applyFill="1" applyBorder="1"/>
    <xf numFmtId="10" fontId="9" fillId="3" borderId="8" xfId="0" applyNumberFormat="1" applyFont="1" applyFill="1" applyBorder="1" applyAlignment="1">
      <alignment horizontal="center"/>
    </xf>
    <xf numFmtId="0" fontId="5" fillId="3" borderId="40" xfId="0" applyFont="1" applyFill="1" applyBorder="1"/>
    <xf numFmtId="0" fontId="5" fillId="3" borderId="41" xfId="0" applyFont="1" applyFill="1" applyBorder="1"/>
    <xf numFmtId="169" fontId="0" fillId="0" borderId="0" xfId="3" applyFont="1"/>
    <xf numFmtId="168" fontId="9" fillId="3" borderId="0" xfId="1" applyFont="1" applyFill="1" applyBorder="1"/>
    <xf numFmtId="166" fontId="0" fillId="0" borderId="0" xfId="0" applyNumberFormat="1"/>
    <xf numFmtId="171" fontId="0" fillId="0" borderId="0" xfId="0" applyNumberFormat="1"/>
    <xf numFmtId="0" fontId="14" fillId="8" borderId="1" xfId="0" applyFont="1" applyFill="1" applyBorder="1"/>
    <xf numFmtId="9" fontId="0" fillId="0" borderId="0" xfId="0" applyNumberFormat="1"/>
    <xf numFmtId="0" fontId="25" fillId="0" borderId="0" xfId="0" applyFont="1" applyAlignment="1">
      <alignment horizontal="right"/>
    </xf>
    <xf numFmtId="0" fontId="13" fillId="2" borderId="1" xfId="0" applyFont="1" applyFill="1" applyBorder="1" applyAlignment="1" applyProtection="1">
      <alignment horizontal="right"/>
      <protection locked="0"/>
    </xf>
    <xf numFmtId="0" fontId="13" fillId="2" borderId="1" xfId="0" applyFont="1" applyFill="1" applyBorder="1" applyAlignment="1" applyProtection="1">
      <alignment horizontal="right" wrapText="1"/>
      <protection locked="0"/>
    </xf>
    <xf numFmtId="171" fontId="13" fillId="2" borderId="1" xfId="1" applyNumberFormat="1" applyFont="1" applyFill="1" applyBorder="1" applyAlignment="1" applyProtection="1">
      <alignment horizontal="right"/>
      <protection locked="0"/>
    </xf>
    <xf numFmtId="14" fontId="13" fillId="2" borderId="1" xfId="0" applyNumberFormat="1" applyFont="1" applyFill="1" applyBorder="1" applyAlignment="1" applyProtection="1">
      <alignment horizontal="right"/>
      <protection locked="0"/>
    </xf>
    <xf numFmtId="165" fontId="13" fillId="2" borderId="1" xfId="0" applyNumberFormat="1" applyFont="1" applyFill="1" applyBorder="1" applyAlignment="1" applyProtection="1">
      <alignment horizontal="right"/>
      <protection locked="0"/>
    </xf>
    <xf numFmtId="165" fontId="13" fillId="2" borderId="1" xfId="0" applyNumberFormat="1" applyFont="1" applyFill="1" applyBorder="1" applyAlignment="1" applyProtection="1">
      <alignment horizontal="right" wrapText="1"/>
      <protection locked="0"/>
    </xf>
    <xf numFmtId="0" fontId="13" fillId="2" borderId="1" xfId="0" applyFont="1" applyFill="1" applyBorder="1" applyAlignment="1" applyProtection="1">
      <alignment wrapText="1"/>
      <protection locked="0"/>
    </xf>
    <xf numFmtId="0" fontId="13" fillId="2" borderId="1" xfId="0" applyFont="1" applyFill="1" applyBorder="1" applyProtection="1">
      <protection locked="0"/>
    </xf>
    <xf numFmtId="14" fontId="13" fillId="3" borderId="1" xfId="1" applyNumberFormat="1" applyFont="1" applyFill="1" applyBorder="1" applyAlignment="1">
      <alignment horizontal="right"/>
    </xf>
    <xf numFmtId="171" fontId="13" fillId="3" borderId="1" xfId="1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right" wrapText="1"/>
    </xf>
    <xf numFmtId="14" fontId="13" fillId="2" borderId="1" xfId="0" applyNumberFormat="1" applyFont="1" applyFill="1" applyBorder="1"/>
    <xf numFmtId="0" fontId="5" fillId="3" borderId="32" xfId="0" applyFont="1" applyFill="1" applyBorder="1"/>
    <xf numFmtId="0" fontId="5" fillId="3" borderId="0" xfId="0" applyFont="1" applyFill="1"/>
    <xf numFmtId="1" fontId="0" fillId="0" borderId="0" xfId="0" applyNumberFormat="1"/>
    <xf numFmtId="0" fontId="0" fillId="0" borderId="0" xfId="0" applyAlignment="1">
      <alignment horizontal="left"/>
    </xf>
    <xf numFmtId="0" fontId="26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165" fontId="22" fillId="0" borderId="0" xfId="0" applyNumberFormat="1" applyFont="1" applyAlignment="1">
      <alignment horizontal="left"/>
    </xf>
    <xf numFmtId="10" fontId="22" fillId="0" borderId="0" xfId="0" applyNumberFormat="1" applyFont="1" applyAlignment="1">
      <alignment horizontal="left"/>
    </xf>
    <xf numFmtId="10" fontId="22" fillId="0" borderId="0" xfId="2" applyNumberFormat="1" applyFont="1" applyBorder="1" applyAlignment="1">
      <alignment horizontal="left"/>
    </xf>
    <xf numFmtId="0" fontId="24" fillId="0" borderId="0" xfId="0" applyFont="1"/>
    <xf numFmtId="174" fontId="22" fillId="0" borderId="0" xfId="1" applyNumberFormat="1" applyFont="1" applyBorder="1" applyAlignment="1">
      <alignment horizontal="left"/>
    </xf>
    <xf numFmtId="9" fontId="22" fillId="0" borderId="0" xfId="0" applyNumberFormat="1" applyFont="1" applyAlignment="1">
      <alignment horizontal="left"/>
    </xf>
    <xf numFmtId="0" fontId="22" fillId="0" borderId="42" xfId="0" applyFont="1" applyBorder="1" applyAlignment="1">
      <alignment horizontal="left"/>
    </xf>
    <xf numFmtId="165" fontId="22" fillId="0" borderId="42" xfId="0" applyNumberFormat="1" applyFont="1" applyBorder="1" applyAlignment="1">
      <alignment horizontal="left"/>
    </xf>
    <xf numFmtId="10" fontId="22" fillId="0" borderId="42" xfId="0" applyNumberFormat="1" applyFont="1" applyBorder="1" applyAlignment="1">
      <alignment horizontal="left"/>
    </xf>
    <xf numFmtId="10" fontId="22" fillId="0" borderId="42" xfId="2" applyNumberFormat="1" applyFont="1" applyBorder="1" applyAlignment="1">
      <alignment horizontal="left"/>
    </xf>
    <xf numFmtId="0" fontId="0" fillId="0" borderId="0" xfId="0" applyAlignment="1">
      <alignment horizontal="left" vertical="center"/>
    </xf>
    <xf numFmtId="174" fontId="22" fillId="0" borderId="42" xfId="1" applyNumberFormat="1" applyFont="1" applyBorder="1" applyAlignment="1">
      <alignment horizontal="left"/>
    </xf>
    <xf numFmtId="9" fontId="22" fillId="0" borderId="42" xfId="0" applyNumberFormat="1" applyFont="1" applyBorder="1" applyAlignment="1">
      <alignment horizontal="left"/>
    </xf>
    <xf numFmtId="0" fontId="13" fillId="0" borderId="43" xfId="0" applyFont="1" applyBorder="1"/>
    <xf numFmtId="0" fontId="13" fillId="0" borderId="46" xfId="0" applyFont="1" applyBorder="1"/>
    <xf numFmtId="0" fontId="13" fillId="0" borderId="47" xfId="0" applyFont="1" applyBorder="1"/>
    <xf numFmtId="0" fontId="13" fillId="0" borderId="48" xfId="0" applyFont="1" applyBorder="1"/>
    <xf numFmtId="0" fontId="13" fillId="0" borderId="49" xfId="0" applyFont="1" applyBorder="1"/>
    <xf numFmtId="0" fontId="13" fillId="0" borderId="50" xfId="0" applyFont="1" applyBorder="1"/>
    <xf numFmtId="0" fontId="13" fillId="0" borderId="55" xfId="0" applyFont="1" applyBorder="1"/>
    <xf numFmtId="3" fontId="13" fillId="0" borderId="56" xfId="0" applyNumberFormat="1" applyFont="1" applyBorder="1"/>
    <xf numFmtId="0" fontId="13" fillId="0" borderId="56" xfId="0" applyFont="1" applyBorder="1"/>
    <xf numFmtId="0" fontId="13" fillId="0" borderId="53" xfId="0" applyFont="1" applyBorder="1"/>
    <xf numFmtId="0" fontId="18" fillId="2" borderId="44" xfId="0" applyFont="1" applyFill="1" applyBorder="1"/>
    <xf numFmtId="0" fontId="13" fillId="2" borderId="45" xfId="0" applyFont="1" applyFill="1" applyBorder="1"/>
    <xf numFmtId="0" fontId="18" fillId="2" borderId="45" xfId="0" applyFont="1" applyFill="1" applyBorder="1"/>
    <xf numFmtId="0" fontId="13" fillId="2" borderId="52" xfId="0" applyFont="1" applyFill="1" applyBorder="1"/>
    <xf numFmtId="0" fontId="13" fillId="2" borderId="46" xfId="0" applyFont="1" applyFill="1" applyBorder="1"/>
    <xf numFmtId="0" fontId="18" fillId="2" borderId="43" xfId="0" applyFont="1" applyFill="1" applyBorder="1"/>
    <xf numFmtId="0" fontId="18" fillId="2" borderId="51" xfId="0" applyFont="1" applyFill="1" applyBorder="1"/>
    <xf numFmtId="0" fontId="18" fillId="2" borderId="47" xfId="0" applyFont="1" applyFill="1" applyBorder="1"/>
    <xf numFmtId="0" fontId="18" fillId="2" borderId="48" xfId="0" applyFont="1" applyFill="1" applyBorder="1"/>
    <xf numFmtId="0" fontId="18" fillId="2" borderId="49" xfId="0" applyFont="1" applyFill="1" applyBorder="1"/>
    <xf numFmtId="0" fontId="18" fillId="2" borderId="54" xfId="0" applyFont="1" applyFill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8" fillId="9" borderId="44" xfId="0" applyFont="1" applyFill="1" applyBorder="1"/>
    <xf numFmtId="0" fontId="18" fillId="9" borderId="57" xfId="0" applyFont="1" applyFill="1" applyBorder="1"/>
    <xf numFmtId="0" fontId="18" fillId="9" borderId="46" xfId="0" applyFont="1" applyFill="1" applyBorder="1"/>
    <xf numFmtId="0" fontId="18" fillId="9" borderId="47" xfId="0" applyFont="1" applyFill="1" applyBorder="1"/>
    <xf numFmtId="0" fontId="29" fillId="0" borderId="59" xfId="0" applyFont="1" applyBorder="1" applyAlignment="1">
      <alignment wrapText="1"/>
    </xf>
    <xf numFmtId="0" fontId="29" fillId="0" borderId="60" xfId="0" applyFont="1" applyBorder="1" applyAlignment="1">
      <alignment wrapText="1"/>
    </xf>
    <xf numFmtId="0" fontId="29" fillId="0" borderId="6" xfId="0" applyFont="1" applyBorder="1" applyAlignment="1">
      <alignment wrapText="1"/>
    </xf>
    <xf numFmtId="0" fontId="13" fillId="0" borderId="64" xfId="0" applyFont="1" applyBorder="1"/>
    <xf numFmtId="0" fontId="13" fillId="0" borderId="65" xfId="0" applyFont="1" applyBorder="1"/>
    <xf numFmtId="0" fontId="13" fillId="0" borderId="66" xfId="0" applyFont="1" applyBorder="1"/>
    <xf numFmtId="0" fontId="29" fillId="10" borderId="23" xfId="0" applyFont="1" applyFill="1" applyBorder="1" applyAlignment="1">
      <alignment wrapText="1"/>
    </xf>
    <xf numFmtId="0" fontId="29" fillId="10" borderId="62" xfId="0" applyFont="1" applyFill="1" applyBorder="1" applyAlignment="1">
      <alignment wrapText="1"/>
    </xf>
    <xf numFmtId="0" fontId="29" fillId="10" borderId="61" xfId="0" applyFont="1" applyFill="1" applyBorder="1" applyAlignment="1">
      <alignment wrapText="1"/>
    </xf>
    <xf numFmtId="0" fontId="29" fillId="10" borderId="63" xfId="0" applyFont="1" applyFill="1" applyBorder="1" applyAlignment="1">
      <alignment wrapText="1"/>
    </xf>
    <xf numFmtId="0" fontId="28" fillId="9" borderId="7" xfId="0" applyFont="1" applyFill="1" applyBorder="1" applyAlignment="1">
      <alignment wrapText="1"/>
    </xf>
    <xf numFmtId="0" fontId="28" fillId="9" borderId="58" xfId="0" applyFont="1" applyFill="1" applyBorder="1" applyAlignment="1">
      <alignment wrapText="1"/>
    </xf>
    <xf numFmtId="0" fontId="28" fillId="9" borderId="4" xfId="0" applyFont="1" applyFill="1" applyBorder="1" applyAlignment="1">
      <alignment wrapText="1"/>
    </xf>
    <xf numFmtId="0" fontId="13" fillId="0" borderId="48" xfId="0" applyFont="1" applyBorder="1" applyAlignment="1">
      <alignment wrapText="1"/>
    </xf>
    <xf numFmtId="0" fontId="14" fillId="11" borderId="1" xfId="0" applyFont="1" applyFill="1" applyBorder="1" applyAlignment="1">
      <alignment wrapText="1"/>
    </xf>
    <xf numFmtId="10" fontId="13" fillId="0" borderId="0" xfId="2" applyNumberFormat="1" applyFont="1"/>
    <xf numFmtId="0" fontId="30" fillId="0" borderId="0" xfId="0" applyFont="1"/>
    <xf numFmtId="0" fontId="31" fillId="0" borderId="0" xfId="0" applyFont="1"/>
    <xf numFmtId="171" fontId="13" fillId="0" borderId="0" xfId="0" applyNumberFormat="1" applyFont="1"/>
    <xf numFmtId="165" fontId="32" fillId="0" borderId="63" xfId="0" applyNumberFormat="1" applyFont="1" applyBorder="1"/>
    <xf numFmtId="165" fontId="32" fillId="0" borderId="71" xfId="0" applyNumberFormat="1" applyFont="1" applyBorder="1"/>
    <xf numFmtId="166" fontId="32" fillId="0" borderId="71" xfId="0" applyNumberFormat="1" applyFont="1" applyBorder="1"/>
    <xf numFmtId="168" fontId="13" fillId="0" borderId="0" xfId="0" applyNumberFormat="1" applyFont="1"/>
    <xf numFmtId="0" fontId="33" fillId="0" borderId="0" xfId="0" applyFont="1" applyAlignment="1">
      <alignment vertical="center"/>
    </xf>
    <xf numFmtId="10" fontId="13" fillId="0" borderId="0" xfId="0" applyNumberFormat="1" applyFont="1"/>
    <xf numFmtId="170" fontId="13" fillId="0" borderId="0" xfId="1" applyNumberFormat="1" applyFont="1"/>
    <xf numFmtId="0" fontId="34" fillId="0" borderId="0" xfId="0" applyFont="1" applyAlignment="1">
      <alignment vertical="center"/>
    </xf>
    <xf numFmtId="168" fontId="32" fillId="0" borderId="71" xfId="0" applyNumberFormat="1" applyFont="1" applyBorder="1"/>
    <xf numFmtId="10" fontId="13" fillId="12" borderId="1" xfId="2" applyNumberFormat="1" applyFont="1" applyFill="1" applyBorder="1" applyAlignment="1">
      <alignment horizontal="right"/>
    </xf>
    <xf numFmtId="168" fontId="0" fillId="12" borderId="6" xfId="1" applyFont="1" applyFill="1" applyBorder="1"/>
    <xf numFmtId="166" fontId="13" fillId="0" borderId="0" xfId="0" applyNumberFormat="1" applyFont="1"/>
    <xf numFmtId="166" fontId="32" fillId="0" borderId="0" xfId="0" applyNumberFormat="1" applyFont="1"/>
    <xf numFmtId="166" fontId="35" fillId="0" borderId="0" xfId="0" applyNumberFormat="1" applyFont="1"/>
    <xf numFmtId="0" fontId="36" fillId="0" borderId="0" xfId="0" applyFont="1" applyAlignment="1">
      <alignment wrapText="1"/>
    </xf>
    <xf numFmtId="0" fontId="42" fillId="0" borderId="42" xfId="0" applyFont="1" applyBorder="1" applyAlignment="1" applyProtection="1">
      <alignment horizontal="left" vertical="center"/>
      <protection locked="0"/>
    </xf>
    <xf numFmtId="0" fontId="43" fillId="0" borderId="42" xfId="0" applyFont="1" applyBorder="1" applyAlignment="1" applyProtection="1">
      <alignment horizontal="left" vertical="center" wrapText="1"/>
      <protection locked="0"/>
    </xf>
    <xf numFmtId="168" fontId="42" fillId="0" borderId="42" xfId="1" applyFont="1" applyFill="1" applyBorder="1" applyAlignment="1" applyProtection="1">
      <alignment horizontal="left" vertical="center"/>
      <protection locked="0"/>
    </xf>
    <xf numFmtId="14" fontId="42" fillId="0" borderId="42" xfId="0" applyNumberFormat="1" applyFont="1" applyBorder="1" applyAlignment="1" applyProtection="1">
      <alignment horizontal="left" vertical="center"/>
      <protection locked="0"/>
    </xf>
    <xf numFmtId="168" fontId="43" fillId="0" borderId="42" xfId="1" applyFont="1" applyFill="1" applyBorder="1" applyAlignment="1" applyProtection="1">
      <alignment horizontal="left" vertical="center"/>
      <protection locked="0"/>
    </xf>
    <xf numFmtId="0" fontId="42" fillId="0" borderId="75" xfId="0" applyFont="1" applyBorder="1" applyAlignment="1" applyProtection="1">
      <alignment horizontal="left" vertical="center" wrapText="1"/>
      <protection locked="0"/>
    </xf>
    <xf numFmtId="170" fontId="42" fillId="0" borderId="0" xfId="1" applyNumberFormat="1" applyFont="1" applyFill="1" applyBorder="1" applyAlignment="1" applyProtection="1">
      <alignment horizontal="left" vertical="center" wrapText="1"/>
    </xf>
    <xf numFmtId="164" fontId="42" fillId="0" borderId="75" xfId="1" applyNumberFormat="1" applyFont="1" applyFill="1" applyBorder="1" applyAlignment="1" applyProtection="1">
      <alignment horizontal="left" vertical="center" wrapText="1"/>
      <protection locked="0"/>
    </xf>
    <xf numFmtId="170" fontId="42" fillId="0" borderId="76" xfId="1" applyNumberFormat="1" applyFont="1" applyFill="1" applyBorder="1" applyAlignment="1" applyProtection="1">
      <alignment horizontal="left" vertical="center" wrapText="1"/>
    </xf>
    <xf numFmtId="170" fontId="42" fillId="0" borderId="0" xfId="1" applyNumberFormat="1" applyFont="1" applyAlignment="1" applyProtection="1">
      <alignment horizontal="left" vertical="center" wrapText="1"/>
    </xf>
    <xf numFmtId="170" fontId="41" fillId="0" borderId="0" xfId="1" applyNumberFormat="1" applyFont="1" applyAlignment="1" applyProtection="1">
      <alignment horizontal="left" vertical="center"/>
    </xf>
    <xf numFmtId="164" fontId="42" fillId="0" borderId="75" xfId="1" applyNumberFormat="1" applyFont="1" applyFill="1" applyBorder="1" applyAlignment="1" applyProtection="1">
      <alignment horizontal="left" vertical="center" wrapText="1"/>
    </xf>
    <xf numFmtId="170" fontId="41" fillId="0" borderId="76" xfId="1" applyNumberFormat="1" applyFont="1" applyBorder="1" applyAlignment="1" applyProtection="1">
      <alignment horizontal="left" vertical="center"/>
    </xf>
    <xf numFmtId="170" fontId="41" fillId="0" borderId="0" xfId="1" applyNumberFormat="1" applyFont="1" applyFill="1" applyBorder="1" applyAlignment="1" applyProtection="1">
      <alignment horizontal="left" vertical="center"/>
    </xf>
    <xf numFmtId="170" fontId="52" fillId="13" borderId="0" xfId="1" applyNumberFormat="1" applyFont="1" applyFill="1" applyAlignment="1" applyProtection="1">
      <alignment horizontal="left" vertical="center"/>
    </xf>
    <xf numFmtId="10" fontId="29" fillId="13" borderId="0" xfId="2" applyNumberFormat="1" applyFont="1" applyFill="1" applyBorder="1" applyAlignment="1" applyProtection="1">
      <alignment horizontal="left" vertical="center"/>
    </xf>
    <xf numFmtId="171" fontId="54" fillId="0" borderId="0" xfId="1" applyNumberFormat="1" applyFont="1" applyFill="1" applyBorder="1" applyAlignment="1" applyProtection="1">
      <alignment horizontal="left" vertical="center"/>
    </xf>
    <xf numFmtId="168" fontId="41" fillId="0" borderId="0" xfId="1" applyFont="1" applyFill="1" applyBorder="1" applyAlignment="1" applyProtection="1">
      <alignment horizontal="left" vertical="center"/>
    </xf>
    <xf numFmtId="168" fontId="43" fillId="0" borderId="42" xfId="1" applyFont="1" applyFill="1" applyBorder="1" applyAlignment="1" applyProtection="1">
      <alignment horizontal="left" vertical="center" wrapText="1"/>
    </xf>
    <xf numFmtId="168" fontId="41" fillId="0" borderId="0" xfId="1" applyFont="1" applyFill="1" applyBorder="1" applyAlignment="1" applyProtection="1">
      <alignment horizontal="left" vertical="center" wrapText="1"/>
    </xf>
    <xf numFmtId="168" fontId="43" fillId="0" borderId="0" xfId="1" applyFont="1" applyFill="1" applyBorder="1" applyAlignment="1" applyProtection="1">
      <alignment horizontal="left" vertical="center"/>
    </xf>
    <xf numFmtId="168" fontId="43" fillId="0" borderId="42" xfId="1" applyFont="1" applyFill="1" applyBorder="1" applyAlignment="1" applyProtection="1">
      <alignment horizontal="left" vertical="center"/>
    </xf>
    <xf numFmtId="10" fontId="42" fillId="13" borderId="42" xfId="2" applyNumberFormat="1" applyFont="1" applyFill="1" applyBorder="1" applyAlignment="1" applyProtection="1">
      <alignment horizontal="left" vertical="center"/>
    </xf>
    <xf numFmtId="10" fontId="42" fillId="13" borderId="0" xfId="2" applyNumberFormat="1" applyFont="1" applyFill="1" applyBorder="1" applyAlignment="1" applyProtection="1">
      <alignment horizontal="left" vertical="center"/>
    </xf>
    <xf numFmtId="168" fontId="42" fillId="0" borderId="0" xfId="1" applyFont="1" applyFill="1" applyBorder="1" applyAlignment="1" applyProtection="1">
      <alignment horizontal="left" vertical="center"/>
    </xf>
    <xf numFmtId="10" fontId="43" fillId="13" borderId="42" xfId="2" applyNumberFormat="1" applyFont="1" applyFill="1" applyBorder="1" applyAlignment="1" applyProtection="1">
      <alignment horizontal="left" vertical="center" wrapText="1"/>
    </xf>
    <xf numFmtId="10" fontId="43" fillId="13" borderId="0" xfId="2" applyNumberFormat="1" applyFont="1" applyFill="1" applyBorder="1" applyAlignment="1" applyProtection="1">
      <alignment horizontal="left" vertical="center" wrapText="1"/>
    </xf>
    <xf numFmtId="2" fontId="13" fillId="3" borderId="1" xfId="0" applyNumberFormat="1" applyFont="1" applyFill="1" applyBorder="1" applyAlignment="1">
      <alignment horizontal="right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41" fillId="0" borderId="42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42" fillId="0" borderId="42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/>
    <xf numFmtId="0" fontId="42" fillId="0" borderId="0" xfId="0" applyFont="1" applyAlignment="1">
      <alignment horizontal="left" vertical="center"/>
    </xf>
    <xf numFmtId="0" fontId="42" fillId="0" borderId="42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43" fillId="0" borderId="0" xfId="0" applyFont="1" applyAlignment="1">
      <alignment horizontal="right" vertical="center"/>
    </xf>
    <xf numFmtId="0" fontId="4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3" fillId="0" borderId="42" xfId="0" applyFont="1" applyBorder="1" applyAlignment="1">
      <alignment horizontal="left" vertical="center" wrapText="1"/>
    </xf>
    <xf numFmtId="0" fontId="29" fillId="13" borderId="0" xfId="0" applyFont="1" applyFill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14" fontId="29" fillId="0" borderId="0" xfId="0" applyNumberFormat="1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14" fontId="42" fillId="13" borderId="42" xfId="0" applyNumberFormat="1" applyFont="1" applyFill="1" applyBorder="1" applyAlignment="1">
      <alignment horizontal="left" vertical="center"/>
    </xf>
    <xf numFmtId="14" fontId="42" fillId="13" borderId="0" xfId="0" applyNumberFormat="1" applyFont="1" applyFill="1" applyAlignment="1">
      <alignment horizontal="left" vertical="center"/>
    </xf>
    <xf numFmtId="0" fontId="42" fillId="13" borderId="42" xfId="0" applyFont="1" applyFill="1" applyBorder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29" fillId="0" borderId="75" xfId="0" applyFont="1" applyBorder="1" applyAlignment="1">
      <alignment horizontal="left" vertical="center" wrapText="1"/>
    </xf>
    <xf numFmtId="0" fontId="42" fillId="0" borderId="75" xfId="0" applyFont="1" applyBorder="1" applyAlignment="1">
      <alignment horizontal="left" vertical="center"/>
    </xf>
    <xf numFmtId="0" fontId="42" fillId="0" borderId="75" xfId="0" applyFont="1" applyBorder="1" applyAlignment="1">
      <alignment horizontal="left" vertical="center" wrapText="1"/>
    </xf>
    <xf numFmtId="0" fontId="29" fillId="0" borderId="76" xfId="0" applyFont="1" applyBorder="1" applyAlignment="1">
      <alignment horizontal="left" vertical="center" wrapText="1"/>
    </xf>
    <xf numFmtId="0" fontId="42" fillId="0" borderId="76" xfId="0" applyFont="1" applyBorder="1" applyAlignment="1">
      <alignment horizontal="left" vertical="center"/>
    </xf>
    <xf numFmtId="0" fontId="42" fillId="0" borderId="76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1" fillId="0" borderId="76" xfId="0" applyFont="1" applyBorder="1" applyAlignment="1">
      <alignment horizontal="left" vertical="center"/>
    </xf>
    <xf numFmtId="0" fontId="52" fillId="13" borderId="0" xfId="0" applyFont="1" applyFill="1" applyAlignment="1">
      <alignment horizontal="left" vertical="center"/>
    </xf>
    <xf numFmtId="0" fontId="53" fillId="0" borderId="0" xfId="0" applyFont="1" applyAlignment="1">
      <alignment vertical="center"/>
    </xf>
    <xf numFmtId="0" fontId="55" fillId="0" borderId="0" xfId="0" applyFont="1" applyAlignment="1">
      <alignment horizontal="left" vertical="center"/>
    </xf>
    <xf numFmtId="0" fontId="56" fillId="0" borderId="0" xfId="0" applyFont="1" applyAlignment="1">
      <alignment vertical="center"/>
    </xf>
    <xf numFmtId="0" fontId="56" fillId="0" borderId="0" xfId="0" applyFont="1"/>
    <xf numFmtId="171" fontId="28" fillId="0" borderId="0" xfId="0" applyNumberFormat="1" applyFont="1" applyAlignment="1">
      <alignment horizontal="left" vertical="center"/>
    </xf>
    <xf numFmtId="10" fontId="54" fillId="0" borderId="0" xfId="0" applyNumberFormat="1" applyFont="1" applyAlignment="1">
      <alignment horizontal="left" vertical="center"/>
    </xf>
    <xf numFmtId="0" fontId="57" fillId="0" borderId="0" xfId="0" applyFont="1" applyAlignment="1">
      <alignment horizontal="left" vertical="center"/>
    </xf>
    <xf numFmtId="10" fontId="29" fillId="13" borderId="0" xfId="0" applyNumberFormat="1" applyFont="1" applyFill="1" applyAlignment="1">
      <alignment horizontal="left" vertical="center"/>
    </xf>
    <xf numFmtId="0" fontId="38" fillId="0" borderId="0" xfId="0" applyFont="1" applyAlignment="1">
      <alignment horizontal="right" vertical="center"/>
    </xf>
    <xf numFmtId="171" fontId="56" fillId="0" borderId="0" xfId="0" applyNumberFormat="1" applyFont="1" applyAlignment="1">
      <alignment vertical="center"/>
    </xf>
    <xf numFmtId="171" fontId="54" fillId="0" borderId="0" xfId="0" applyNumberFormat="1" applyFont="1" applyAlignment="1">
      <alignment horizontal="left" vertical="center"/>
    </xf>
    <xf numFmtId="168" fontId="56" fillId="0" borderId="0" xfId="0" applyNumberFormat="1" applyFont="1" applyAlignment="1">
      <alignment vertical="center"/>
    </xf>
    <xf numFmtId="172" fontId="58" fillId="0" borderId="0" xfId="0" applyNumberFormat="1" applyFont="1" applyAlignment="1">
      <alignment horizontal="left" vertical="center"/>
    </xf>
    <xf numFmtId="9" fontId="38" fillId="0" borderId="0" xfId="2" applyFont="1" applyProtection="1"/>
    <xf numFmtId="0" fontId="22" fillId="0" borderId="42" xfId="0" applyFont="1" applyBorder="1" applyAlignment="1">
      <alignment horizontal="right"/>
    </xf>
    <xf numFmtId="0" fontId="22" fillId="0" borderId="0" xfId="0" applyFont="1" applyAlignment="1">
      <alignment horizontal="right"/>
    </xf>
    <xf numFmtId="168" fontId="22" fillId="0" borderId="42" xfId="1" applyFont="1" applyBorder="1" applyAlignment="1" applyProtection="1">
      <alignment horizontal="right"/>
    </xf>
    <xf numFmtId="165" fontId="22" fillId="0" borderId="0" xfId="0" applyNumberFormat="1" applyFont="1" applyAlignment="1">
      <alignment horizontal="right"/>
    </xf>
    <xf numFmtId="168" fontId="22" fillId="0" borderId="42" xfId="0" applyNumberFormat="1" applyFont="1" applyBorder="1" applyAlignment="1">
      <alignment horizontal="right"/>
    </xf>
    <xf numFmtId="165" fontId="22" fillId="0" borderId="42" xfId="0" applyNumberFormat="1" applyFont="1" applyBorder="1" applyAlignment="1">
      <alignment horizontal="right"/>
    </xf>
    <xf numFmtId="10" fontId="22" fillId="0" borderId="42" xfId="0" applyNumberFormat="1" applyFont="1" applyBorder="1" applyAlignment="1">
      <alignment horizontal="right"/>
    </xf>
    <xf numFmtId="10" fontId="22" fillId="0" borderId="0" xfId="0" applyNumberFormat="1" applyFont="1" applyAlignment="1">
      <alignment horizontal="right"/>
    </xf>
    <xf numFmtId="10" fontId="22" fillId="0" borderId="42" xfId="2" applyNumberFormat="1" applyFont="1" applyBorder="1" applyAlignment="1" applyProtection="1">
      <alignment horizontal="right"/>
    </xf>
    <xf numFmtId="10" fontId="22" fillId="0" borderId="0" xfId="2" applyNumberFormat="1" applyFont="1" applyBorder="1" applyAlignment="1" applyProtection="1">
      <alignment horizontal="right"/>
    </xf>
    <xf numFmtId="174" fontId="22" fillId="0" borderId="0" xfId="1" applyNumberFormat="1" applyFont="1" applyBorder="1" applyAlignment="1" applyProtection="1">
      <alignment horizontal="right"/>
    </xf>
    <xf numFmtId="9" fontId="22" fillId="0" borderId="42" xfId="0" applyNumberFormat="1" applyFont="1" applyBorder="1" applyAlignment="1">
      <alignment horizontal="right"/>
    </xf>
    <xf numFmtId="9" fontId="22" fillId="0" borderId="0" xfId="0" applyNumberFormat="1" applyFont="1" applyAlignment="1">
      <alignment horizontal="right"/>
    </xf>
    <xf numFmtId="0" fontId="22" fillId="0" borderId="42" xfId="0" applyFont="1" applyBorder="1" applyAlignment="1" applyProtection="1">
      <alignment horizontal="right"/>
      <protection locked="0"/>
    </xf>
    <xf numFmtId="165" fontId="22" fillId="0" borderId="42" xfId="0" applyNumberFormat="1" applyFont="1" applyBorder="1" applyAlignment="1" applyProtection="1">
      <alignment horizontal="right"/>
      <protection locked="0"/>
    </xf>
    <xf numFmtId="0" fontId="42" fillId="0" borderId="72" xfId="0" applyFont="1" applyBorder="1" applyAlignment="1">
      <alignment horizontal="left" vertical="center"/>
    </xf>
    <xf numFmtId="0" fontId="42" fillId="0" borderId="73" xfId="0" applyFont="1" applyBorder="1" applyAlignment="1">
      <alignment horizontal="left" vertical="center"/>
    </xf>
    <xf numFmtId="0" fontId="42" fillId="0" borderId="7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10" fontId="1" fillId="5" borderId="13" xfId="0" applyNumberFormat="1" applyFont="1" applyFill="1" applyBorder="1" applyAlignment="1">
      <alignment horizontal="center" vertical="center"/>
    </xf>
    <xf numFmtId="10" fontId="1" fillId="5" borderId="14" xfId="0" applyNumberFormat="1" applyFont="1" applyFill="1" applyBorder="1" applyAlignment="1">
      <alignment horizontal="center" vertical="center"/>
    </xf>
    <xf numFmtId="10" fontId="1" fillId="5" borderId="20" xfId="0" applyNumberFormat="1" applyFont="1" applyFill="1" applyBorder="1" applyAlignment="1">
      <alignment horizontal="center" vertical="center"/>
    </xf>
    <xf numFmtId="171" fontId="1" fillId="5" borderId="13" xfId="1" applyNumberFormat="1" applyFont="1" applyFill="1" applyBorder="1" applyAlignment="1">
      <alignment horizontal="center" vertical="center"/>
    </xf>
    <xf numFmtId="171" fontId="1" fillId="5" borderId="14" xfId="1" applyNumberFormat="1" applyFont="1" applyFill="1" applyBorder="1" applyAlignment="1">
      <alignment horizontal="center" vertical="center"/>
    </xf>
    <xf numFmtId="171" fontId="1" fillId="5" borderId="20" xfId="1" applyNumberFormat="1" applyFont="1" applyFill="1" applyBorder="1" applyAlignment="1">
      <alignment horizontal="center" vertical="center"/>
    </xf>
    <xf numFmtId="0" fontId="13" fillId="2" borderId="1" xfId="0" applyFont="1" applyFill="1" applyBorder="1" applyProtection="1"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32" fillId="9" borderId="67" xfId="0" applyFont="1" applyFill="1" applyBorder="1" applyAlignment="1">
      <alignment horizontal="center" wrapText="1"/>
    </xf>
    <xf numFmtId="0" fontId="32" fillId="9" borderId="69" xfId="0" applyFont="1" applyFill="1" applyBorder="1" applyAlignment="1">
      <alignment horizontal="center" wrapText="1"/>
    </xf>
    <xf numFmtId="0" fontId="32" fillId="9" borderId="68" xfId="0" applyFont="1" applyFill="1" applyBorder="1" applyAlignment="1">
      <alignment horizontal="center" wrapText="1"/>
    </xf>
    <xf numFmtId="0" fontId="32" fillId="9" borderId="70" xfId="0" applyFont="1" applyFill="1" applyBorder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0F9ED5"/>
      <color rgb="FF00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57210</xdr:rowOff>
    </xdr:from>
    <xdr:to>
      <xdr:col>1</xdr:col>
      <xdr:colOff>1554350</xdr:colOff>
      <xdr:row>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D4159E-02F2-4E14-BA1B-0BAD3668D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38185"/>
          <a:ext cx="1541650" cy="7524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635000</xdr:colOff>
      <xdr:row>1</xdr:row>
      <xdr:rowOff>69850</xdr:rowOff>
    </xdr:from>
    <xdr:to>
      <xdr:col>2</xdr:col>
      <xdr:colOff>2102585</xdr:colOff>
      <xdr:row>2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20EFDC-4273-436C-A18C-9C229B4D1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190500"/>
          <a:ext cx="1464410" cy="7397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69</xdr:row>
      <xdr:rowOff>127001</xdr:rowOff>
    </xdr:from>
    <xdr:to>
      <xdr:col>3</xdr:col>
      <xdr:colOff>11071</xdr:colOff>
      <xdr:row>74</xdr:row>
      <xdr:rowOff>2114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685272-0FF7-4318-A36E-1CFA2B90D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11506201"/>
          <a:ext cx="7297696" cy="7831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1646117</xdr:colOff>
      <xdr:row>2</xdr:row>
      <xdr:rowOff>68263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885A51-A859-4489-A034-18CEECDDA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916366" cy="446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1093667</xdr:colOff>
      <xdr:row>2</xdr:row>
      <xdr:rowOff>68263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EE9AAA-C98F-646F-1565-6E4882B6E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938591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635000</xdr:colOff>
      <xdr:row>1</xdr:row>
      <xdr:rowOff>69850</xdr:rowOff>
    </xdr:from>
    <xdr:to>
      <xdr:col>2</xdr:col>
      <xdr:colOff>2105760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F96A6F-AD9E-40BF-80DA-CFF6AD72C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00" y="196850"/>
          <a:ext cx="1553310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69</xdr:row>
      <xdr:rowOff>127001</xdr:rowOff>
    </xdr:from>
    <xdr:to>
      <xdr:col>3</xdr:col>
      <xdr:colOff>7896</xdr:colOff>
      <xdr:row>74</xdr:row>
      <xdr:rowOff>2114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C80CCF-3643-4EAD-96E2-905BDAE1B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" y="11645901"/>
          <a:ext cx="7069096" cy="7916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1649292</xdr:colOff>
      <xdr:row>2</xdr:row>
      <xdr:rowOff>65088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84D87A-498D-42FA-B65E-748081F88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922716" cy="430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RichardLawton/Downloads/ModaMortgages%20Legal%20Doc%20Calculator_FINAL%20v15.xlsx" TargetMode="External"/><Relationship Id="rId1" Type="http://schemas.openxmlformats.org/officeDocument/2006/relationships/externalLinkPath" Target="file:///C:/Users/RichardLawton/Downloads/ModaMortgages%20Legal%20Doc%20Calculator_FINAL%20v1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hetwood-my.sharepoint.com/personal/jason_breeze_chetwood_co/Documents/Group%20Bridging%20Launch/Calculator/STL%20Calculator%20Requirements%20(JB%20Version).xlsx" TargetMode="External"/><Relationship Id="rId1" Type="http://schemas.openxmlformats.org/officeDocument/2006/relationships/externalLinkPath" Target="STL%20Calculator%20Requirements%20(JB%20Version)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DocumentStoreFinance/Mortgages/Development/Mambu%20Sheet%20-%20Daily%20Interest.xlsx" TargetMode="External"/><Relationship Id="rId2" Type="http://schemas.openxmlformats.org/officeDocument/2006/relationships/externalLinkPath" Target="https://chetwood.sharepoint.com/sites/DocumentStoreFinance/Mortgages/Development/Mambu%20Sheet%20-%20Daily%20Interest.xlsx" TargetMode="External"/><Relationship Id="rId1" Type="http://schemas.openxmlformats.org/officeDocument/2006/relationships/externalLinkPath" Target="/sites/DocumentStoreFinance/Mortgages/Development/Mambu%20Sheet%20-%20Daily%20Inter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sion Control"/>
      <sheetName val="1.Test Record_Calculated Values"/>
      <sheetName val="2. Static Info Personalisation"/>
      <sheetName val="3.Spec Conditions - Auto"/>
      <sheetName val="Product Catalogue_UAT"/>
      <sheetName val="Cashflow - Daily"/>
      <sheetName val="Cashflow - Monthly"/>
      <sheetName val="Exampl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tor (2)"/>
      <sheetName val="Calculator"/>
      <sheetName val="Front Sheet"/>
      <sheetName val="Redemption"/>
      <sheetName val="Products"/>
      <sheetName val="Cashflow"/>
      <sheetName val="AIP Terms"/>
      <sheetName val="Password"/>
    </sheetNames>
    <sheetDataSet>
      <sheetData sheetId="0"/>
      <sheetData sheetId="1"/>
      <sheetData sheetId="2"/>
      <sheetData sheetId="3"/>
      <sheetData sheetId="4">
        <row r="2">
          <cell r="B2" t="str">
            <v>Product Description</v>
          </cell>
          <cell r="E2" t="str">
            <v>Fee</v>
          </cell>
        </row>
        <row r="3">
          <cell r="B3" t="str">
            <v>Please select</v>
          </cell>
          <cell r="E3"/>
        </row>
        <row r="4">
          <cell r="B4" t="str">
            <v>Standard bridging 50% LTV</v>
          </cell>
          <cell r="E4">
            <v>0.02</v>
          </cell>
        </row>
        <row r="5">
          <cell r="B5" t="str">
            <v>Standard bridging 55% LTV</v>
          </cell>
          <cell r="E5">
            <v>0.02</v>
          </cell>
        </row>
        <row r="6">
          <cell r="B6" t="str">
            <v>Standard bridging 60% LTV</v>
          </cell>
          <cell r="E6">
            <v>0.02</v>
          </cell>
        </row>
        <row r="7">
          <cell r="B7" t="str">
            <v>Standard bridging 65% LTV</v>
          </cell>
          <cell r="E7">
            <v>0.02</v>
          </cell>
        </row>
        <row r="8">
          <cell r="B8" t="str">
            <v>Standard bridging 70% LTV</v>
          </cell>
          <cell r="E8">
            <v>0.02</v>
          </cell>
        </row>
        <row r="9">
          <cell r="B9" t="str">
            <v>Standard bridging 75% LTV</v>
          </cell>
          <cell r="E9">
            <v>0.02</v>
          </cell>
        </row>
        <row r="10">
          <cell r="B10" t="str">
            <v>Light refurbishment 50% LTV</v>
          </cell>
          <cell r="E10">
            <v>0.02</v>
          </cell>
        </row>
        <row r="11">
          <cell r="B11" t="str">
            <v>Light refurbishment 55% LTV</v>
          </cell>
          <cell r="E11">
            <v>0.02</v>
          </cell>
        </row>
        <row r="12">
          <cell r="B12" t="str">
            <v>Light refurbishment 60% LTV</v>
          </cell>
          <cell r="E12">
            <v>0.02</v>
          </cell>
        </row>
        <row r="13">
          <cell r="B13" t="str">
            <v>Light refurbishment 65% LTV</v>
          </cell>
          <cell r="E13">
            <v>0.02</v>
          </cell>
        </row>
        <row r="14">
          <cell r="B14" t="str">
            <v>Light refurbishment 70% LTV</v>
          </cell>
          <cell r="E14">
            <v>0.02</v>
          </cell>
        </row>
        <row r="15">
          <cell r="B15" t="str">
            <v>Light refurbishment 75% LTV</v>
          </cell>
          <cell r="E15">
            <v>0.02</v>
          </cell>
        </row>
        <row r="16">
          <cell r="B16" t="str">
            <v>Heavy refurbishment 50% LTV</v>
          </cell>
          <cell r="E16">
            <v>0.02</v>
          </cell>
        </row>
        <row r="17">
          <cell r="B17" t="str">
            <v>Heavy refurbishment 55% LTV</v>
          </cell>
          <cell r="E17">
            <v>0.02</v>
          </cell>
        </row>
        <row r="18">
          <cell r="B18" t="str">
            <v>Heavy refurbishment 60% LTV</v>
          </cell>
          <cell r="E18">
            <v>0.02</v>
          </cell>
        </row>
        <row r="19">
          <cell r="B19" t="str">
            <v>Heavy refurbishment 65% LTV</v>
          </cell>
          <cell r="E19">
            <v>0.02</v>
          </cell>
        </row>
        <row r="20">
          <cell r="B20" t="str">
            <v>Heavy refurbishment 70% LTV</v>
          </cell>
          <cell r="E20">
            <v>0.02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Q&amp;A"/>
      <sheetName val="H.L Product Matrix"/>
      <sheetName val="H.L Product Matrix (Daily)"/>
      <sheetName val="Tarriff of Fees"/>
    </sheetNames>
    <sheetDataSet>
      <sheetData sheetId="0"/>
      <sheetData sheetId="1"/>
      <sheetData sheetId="2"/>
      <sheetData sheetId="3">
        <row r="3">
          <cell r="C3">
            <v>150</v>
          </cell>
        </row>
        <row r="4">
          <cell r="C4">
            <v>25</v>
          </cell>
        </row>
        <row r="5">
          <cell r="C5">
            <v>105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3302-53EE-4869-9204-B7668B43D87C}">
  <dimension ref="B1:H20"/>
  <sheetViews>
    <sheetView showGridLines="0" topLeftCell="A2" workbookViewId="0">
      <selection activeCell="H21" sqref="H21"/>
    </sheetView>
  </sheetViews>
  <sheetFormatPr baseColWidth="10" defaultColWidth="8.83203125" defaultRowHeight="15"/>
  <cols>
    <col min="2" max="2" width="32.1640625" customWidth="1"/>
    <col min="3" max="3" width="29.83203125" customWidth="1"/>
    <col min="4" max="4" width="9.1640625" bestFit="1" customWidth="1"/>
    <col min="5" max="5" width="9.1640625" customWidth="1"/>
    <col min="6" max="6" width="14.5" bestFit="1" customWidth="1"/>
    <col min="7" max="7" width="10.5" customWidth="1"/>
  </cols>
  <sheetData>
    <row r="1" spans="2:8" ht="16" thickBot="1"/>
    <row r="2" spans="2:8" ht="27" thickBot="1">
      <c r="B2" s="49" t="s">
        <v>254</v>
      </c>
      <c r="C2" s="49" t="s">
        <v>255</v>
      </c>
      <c r="D2" s="49" t="s">
        <v>81</v>
      </c>
      <c r="E2" s="49" t="s">
        <v>28</v>
      </c>
      <c r="F2" s="49" t="s">
        <v>256</v>
      </c>
      <c r="G2" s="49" t="s">
        <v>257</v>
      </c>
      <c r="H2" s="49" t="s">
        <v>258</v>
      </c>
    </row>
    <row r="3" spans="2:8" ht="16" thickBot="1">
      <c r="B3" s="45" t="s">
        <v>359</v>
      </c>
      <c r="C3" s="46"/>
      <c r="D3" s="48"/>
      <c r="E3" s="48"/>
      <c r="F3" s="46"/>
      <c r="G3" s="47"/>
      <c r="H3" s="47"/>
    </row>
    <row r="4" spans="2:8" ht="16" thickBot="1">
      <c r="B4" s="45" t="s">
        <v>318</v>
      </c>
      <c r="C4" s="46"/>
      <c r="D4" s="48">
        <v>0.5</v>
      </c>
      <c r="E4" s="48">
        <v>0.02</v>
      </c>
      <c r="F4" s="46" t="s">
        <v>73</v>
      </c>
      <c r="G4" s="47">
        <f>H4*12</f>
        <v>8.4000000000000005E-2</v>
      </c>
      <c r="H4" s="47">
        <v>7.0000000000000001E-3</v>
      </c>
    </row>
    <row r="5" spans="2:8" ht="16" thickBot="1">
      <c r="B5" s="45" t="s">
        <v>360</v>
      </c>
      <c r="C5" s="46"/>
      <c r="D5" s="48">
        <v>0.55000000000000004</v>
      </c>
      <c r="E5" s="48">
        <v>0.02</v>
      </c>
      <c r="F5" s="46" t="s">
        <v>73</v>
      </c>
      <c r="G5" s="47">
        <f t="shared" ref="G5:G20" si="0">H5*12</f>
        <v>8.4000000000000005E-2</v>
      </c>
      <c r="H5" s="47">
        <v>7.0000000000000001E-3</v>
      </c>
    </row>
    <row r="6" spans="2:8" ht="16" thickBot="1">
      <c r="B6" s="45" t="s">
        <v>361</v>
      </c>
      <c r="C6" s="46"/>
      <c r="D6" s="48">
        <v>0.6</v>
      </c>
      <c r="E6" s="48">
        <v>0.02</v>
      </c>
      <c r="F6" s="46" t="s">
        <v>73</v>
      </c>
      <c r="G6" s="47">
        <f t="shared" si="0"/>
        <v>8.4000000000000005E-2</v>
      </c>
      <c r="H6" s="47">
        <v>7.0000000000000001E-3</v>
      </c>
    </row>
    <row r="7" spans="2:8">
      <c r="B7" s="45" t="s">
        <v>362</v>
      </c>
      <c r="C7" s="46"/>
      <c r="D7" s="48">
        <v>0.65</v>
      </c>
      <c r="E7" s="48">
        <v>0.02</v>
      </c>
      <c r="F7" s="46" t="s">
        <v>73</v>
      </c>
      <c r="G7" s="47">
        <f t="shared" si="0"/>
        <v>8.7599999999999997E-2</v>
      </c>
      <c r="H7" s="47">
        <v>7.3000000000000001E-3</v>
      </c>
    </row>
    <row r="8" spans="2:8" ht="16" thickBot="1">
      <c r="B8" s="45" t="s">
        <v>363</v>
      </c>
      <c r="C8" s="46"/>
      <c r="D8" s="48">
        <v>0.7</v>
      </c>
      <c r="E8" s="48">
        <v>0.02</v>
      </c>
      <c r="F8" s="46" t="s">
        <v>73</v>
      </c>
      <c r="G8" s="47">
        <f t="shared" si="0"/>
        <v>0.09</v>
      </c>
      <c r="H8" s="47">
        <v>7.4999999999999997E-3</v>
      </c>
    </row>
    <row r="9" spans="2:8" ht="16" thickBot="1">
      <c r="B9" s="45" t="s">
        <v>364</v>
      </c>
      <c r="C9" s="46"/>
      <c r="D9" s="48">
        <v>0.75</v>
      </c>
      <c r="E9" s="48">
        <v>0.02</v>
      </c>
      <c r="F9" s="46" t="s">
        <v>73</v>
      </c>
      <c r="G9" s="47">
        <f t="shared" si="0"/>
        <v>9.4800000000000009E-2</v>
      </c>
      <c r="H9" s="47">
        <v>7.9000000000000008E-3</v>
      </c>
    </row>
    <row r="10" spans="2:8" ht="16" thickBot="1">
      <c r="B10" s="45" t="s">
        <v>365</v>
      </c>
      <c r="C10" s="46"/>
      <c r="D10" s="48">
        <v>0.5</v>
      </c>
      <c r="E10" s="48">
        <v>0.02</v>
      </c>
      <c r="F10" s="46" t="s">
        <v>73</v>
      </c>
      <c r="G10" s="47">
        <f>H10*12</f>
        <v>8.4000000000000005E-2</v>
      </c>
      <c r="H10" s="47">
        <v>7.0000000000000001E-3</v>
      </c>
    </row>
    <row r="11" spans="2:8" ht="16" thickBot="1">
      <c r="B11" s="45" t="s">
        <v>366</v>
      </c>
      <c r="C11" s="46"/>
      <c r="D11" s="48">
        <v>0.55000000000000004</v>
      </c>
      <c r="E11" s="48">
        <v>0.02</v>
      </c>
      <c r="F11" s="46" t="s">
        <v>73</v>
      </c>
      <c r="G11" s="47">
        <f t="shared" si="0"/>
        <v>8.4000000000000005E-2</v>
      </c>
      <c r="H11" s="47">
        <v>7.0000000000000001E-3</v>
      </c>
    </row>
    <row r="12" spans="2:8" ht="16" thickBot="1">
      <c r="B12" s="45" t="s">
        <v>367</v>
      </c>
      <c r="C12" s="46"/>
      <c r="D12" s="48">
        <v>0.6</v>
      </c>
      <c r="E12" s="48">
        <v>0.02</v>
      </c>
      <c r="F12" s="46" t="s">
        <v>73</v>
      </c>
      <c r="G12" s="47">
        <f t="shared" si="0"/>
        <v>8.4000000000000005E-2</v>
      </c>
      <c r="H12" s="47">
        <v>7.0000000000000001E-3</v>
      </c>
    </row>
    <row r="13" spans="2:8">
      <c r="B13" s="45" t="s">
        <v>368</v>
      </c>
      <c r="C13" s="46"/>
      <c r="D13" s="48">
        <v>0.65</v>
      </c>
      <c r="E13" s="48">
        <v>0.02</v>
      </c>
      <c r="F13" s="46" t="s">
        <v>73</v>
      </c>
      <c r="G13" s="47">
        <f t="shared" si="0"/>
        <v>8.7599999999999997E-2</v>
      </c>
      <c r="H13" s="47">
        <v>7.3000000000000001E-3</v>
      </c>
    </row>
    <row r="14" spans="2:8">
      <c r="B14" s="45" t="s">
        <v>369</v>
      </c>
      <c r="C14" s="46"/>
      <c r="D14" s="48">
        <v>0.7</v>
      </c>
      <c r="E14" s="48">
        <v>0.02</v>
      </c>
      <c r="F14" s="46" t="s">
        <v>73</v>
      </c>
      <c r="G14" s="47">
        <f t="shared" si="0"/>
        <v>0.09</v>
      </c>
      <c r="H14" s="47">
        <v>7.4999999999999997E-3</v>
      </c>
    </row>
    <row r="15" spans="2:8" ht="16" thickBot="1">
      <c r="B15" s="45" t="s">
        <v>370</v>
      </c>
      <c r="C15" s="46"/>
      <c r="D15" s="48">
        <v>0.75</v>
      </c>
      <c r="E15" s="48">
        <v>0.02</v>
      </c>
      <c r="F15" s="46" t="s">
        <v>73</v>
      </c>
      <c r="G15" s="47">
        <f t="shared" si="0"/>
        <v>9.4800000000000009E-2</v>
      </c>
      <c r="H15" s="47">
        <v>7.9000000000000008E-3</v>
      </c>
    </row>
    <row r="16" spans="2:8" ht="16" thickBot="1">
      <c r="B16" s="45" t="s">
        <v>371</v>
      </c>
      <c r="C16" s="46"/>
      <c r="D16" s="48">
        <v>0.5</v>
      </c>
      <c r="E16" s="48">
        <v>0.02</v>
      </c>
      <c r="F16" s="46" t="s">
        <v>73</v>
      </c>
      <c r="G16" s="47">
        <f>H16*12</f>
        <v>9.9599999999999994E-2</v>
      </c>
      <c r="H16" s="47">
        <v>8.3000000000000001E-3</v>
      </c>
    </row>
    <row r="17" spans="2:8" ht="16" thickBot="1">
      <c r="B17" s="45" t="s">
        <v>372</v>
      </c>
      <c r="C17" s="46"/>
      <c r="D17" s="48">
        <v>0.55000000000000004</v>
      </c>
      <c r="E17" s="48">
        <v>0.02</v>
      </c>
      <c r="F17" s="46" t="s">
        <v>73</v>
      </c>
      <c r="G17" s="47">
        <f t="shared" si="0"/>
        <v>9.9599999999999994E-2</v>
      </c>
      <c r="H17" s="47">
        <v>8.3000000000000001E-3</v>
      </c>
    </row>
    <row r="18" spans="2:8">
      <c r="B18" s="45" t="s">
        <v>373</v>
      </c>
      <c r="C18" s="46"/>
      <c r="D18" s="48">
        <v>0.6</v>
      </c>
      <c r="E18" s="48">
        <v>0.02</v>
      </c>
      <c r="F18" s="46" t="s">
        <v>73</v>
      </c>
      <c r="G18" s="47">
        <f t="shared" si="0"/>
        <v>9.9599999999999994E-2</v>
      </c>
      <c r="H18" s="47">
        <v>8.3000000000000001E-3</v>
      </c>
    </row>
    <row r="19" spans="2:8" ht="16" thickBot="1">
      <c r="B19" s="45" t="s">
        <v>374</v>
      </c>
      <c r="C19" s="46"/>
      <c r="D19" s="48">
        <v>0.65</v>
      </c>
      <c r="E19" s="48">
        <v>0.02</v>
      </c>
      <c r="F19" s="46" t="s">
        <v>73</v>
      </c>
      <c r="G19" s="47">
        <f t="shared" si="0"/>
        <v>0.1032</v>
      </c>
      <c r="H19" s="47">
        <v>8.6E-3</v>
      </c>
    </row>
    <row r="20" spans="2:8">
      <c r="B20" s="45" t="s">
        <v>375</v>
      </c>
      <c r="C20" s="46"/>
      <c r="D20" s="48">
        <v>0.7</v>
      </c>
      <c r="E20" s="48">
        <v>0.02</v>
      </c>
      <c r="F20" s="46" t="s">
        <v>73</v>
      </c>
      <c r="G20" s="47">
        <f t="shared" si="0"/>
        <v>0.10680000000000001</v>
      </c>
      <c r="H20" s="47">
        <v>8.8999999999999999E-3</v>
      </c>
    </row>
  </sheetData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9305-1035-45E3-AC6D-0BC407675EEB}">
  <dimension ref="A1:L117"/>
  <sheetViews>
    <sheetView showGridLines="0" tabSelected="1" workbookViewId="0">
      <selection activeCell="C32" sqref="C32"/>
    </sheetView>
  </sheetViews>
  <sheetFormatPr baseColWidth="10" defaultColWidth="8.6640625" defaultRowHeight="14"/>
  <cols>
    <col min="1" max="1" width="2.83203125" style="252" customWidth="1"/>
    <col min="2" max="2" width="28.1640625" style="252" customWidth="1"/>
    <col min="3" max="3" width="23.6640625" style="252" customWidth="1"/>
    <col min="4" max="4" width="1.6640625" style="252" customWidth="1"/>
    <col min="5" max="5" width="23.6640625" style="252" customWidth="1"/>
    <col min="6" max="6" width="1.6640625" style="252" customWidth="1"/>
    <col min="7" max="7" width="23.6640625" style="252" customWidth="1"/>
    <col min="8" max="8" width="1.6640625" style="252" customWidth="1"/>
    <col min="9" max="9" width="23.6640625" style="252" customWidth="1"/>
    <col min="10" max="10" width="19.5" style="252" hidden="1" customWidth="1"/>
    <col min="11" max="11" width="15.83203125" style="252" hidden="1" customWidth="1"/>
    <col min="12" max="12" width="1.6640625" style="252" customWidth="1"/>
    <col min="13" max="13" width="70.5" style="252" bestFit="1" customWidth="1"/>
    <col min="14" max="16384" width="8.6640625" style="252"/>
  </cols>
  <sheetData>
    <row r="1" spans="1:11">
      <c r="A1" s="250"/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59">
      <c r="A2" s="251"/>
      <c r="B2" s="251"/>
      <c r="C2" s="253" t="s">
        <v>298</v>
      </c>
      <c r="D2" s="251"/>
      <c r="E2" s="251"/>
      <c r="F2" s="251"/>
      <c r="G2" s="251"/>
      <c r="H2" s="251"/>
      <c r="I2" s="251"/>
      <c r="J2" s="251"/>
      <c r="K2" s="251"/>
    </row>
    <row r="3" spans="1:11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</row>
    <row r="4" spans="1:11" ht="18" hidden="1">
      <c r="A4" s="251"/>
      <c r="B4" s="254" t="s">
        <v>299</v>
      </c>
      <c r="C4" s="251"/>
      <c r="D4" s="251"/>
      <c r="E4" s="251"/>
      <c r="F4" s="251"/>
      <c r="G4" s="251"/>
      <c r="H4" s="251"/>
      <c r="I4" s="251"/>
      <c r="J4" s="251"/>
      <c r="K4" s="251"/>
    </row>
    <row r="5" spans="1:11" ht="5.5" hidden="1" customHeight="1">
      <c r="A5" s="251"/>
      <c r="B5" s="254"/>
      <c r="C5" s="251"/>
      <c r="D5" s="251"/>
      <c r="E5" s="251"/>
      <c r="F5" s="251"/>
      <c r="G5" s="251"/>
      <c r="H5" s="251"/>
      <c r="I5" s="251"/>
      <c r="J5" s="251"/>
      <c r="K5" s="251"/>
    </row>
    <row r="6" spans="1:11" ht="15" hidden="1" customHeight="1">
      <c r="A6" s="251"/>
      <c r="B6" s="255" t="s">
        <v>300</v>
      </c>
      <c r="C6" s="256"/>
      <c r="D6" s="251"/>
      <c r="E6" s="251"/>
      <c r="F6" s="251"/>
      <c r="G6" s="251"/>
      <c r="H6" s="251"/>
      <c r="I6" s="251"/>
      <c r="J6" s="251"/>
      <c r="K6" s="251"/>
    </row>
    <row r="7" spans="1:11" ht="5.5" hidden="1" customHeight="1">
      <c r="A7" s="251"/>
      <c r="B7" s="255"/>
      <c r="C7" s="257"/>
      <c r="D7" s="251"/>
      <c r="E7" s="251"/>
      <c r="F7" s="251"/>
      <c r="G7" s="251"/>
      <c r="H7" s="251"/>
      <c r="I7" s="251"/>
      <c r="J7" s="251"/>
      <c r="K7" s="251"/>
    </row>
    <row r="8" spans="1:11" ht="15" hidden="1" customHeight="1">
      <c r="A8" s="251"/>
      <c r="B8" s="255" t="s">
        <v>301</v>
      </c>
      <c r="C8" s="256"/>
      <c r="D8" s="251"/>
      <c r="E8" s="251"/>
      <c r="F8" s="251"/>
      <c r="G8" s="251"/>
      <c r="H8" s="251"/>
      <c r="I8" s="251"/>
      <c r="J8" s="251"/>
      <c r="K8" s="251"/>
    </row>
    <row r="9" spans="1:11" ht="5.5" hidden="1" customHeight="1">
      <c r="A9" s="251"/>
      <c r="B9" s="255"/>
      <c r="C9" s="257"/>
      <c r="D9" s="251"/>
      <c r="E9" s="251"/>
      <c r="F9" s="251"/>
      <c r="G9" s="251"/>
      <c r="H9" s="251"/>
      <c r="I9" s="251"/>
      <c r="J9" s="251"/>
      <c r="K9" s="251"/>
    </row>
    <row r="10" spans="1:11" ht="15" hidden="1" customHeight="1">
      <c r="A10" s="251"/>
      <c r="B10" s="255" t="s">
        <v>302</v>
      </c>
      <c r="C10" s="256"/>
      <c r="D10" s="251"/>
      <c r="E10" s="251"/>
      <c r="F10" s="251"/>
      <c r="G10" s="251"/>
      <c r="H10" s="251"/>
      <c r="I10" s="251"/>
      <c r="J10" s="251"/>
      <c r="K10" s="251"/>
    </row>
    <row r="11" spans="1:11" ht="5.5" hidden="1" customHeight="1">
      <c r="A11" s="251"/>
      <c r="B11" s="255"/>
      <c r="C11" s="257"/>
      <c r="D11" s="251"/>
      <c r="E11" s="251"/>
      <c r="F11" s="251"/>
      <c r="G11" s="251"/>
      <c r="H11" s="251"/>
      <c r="I11" s="251"/>
      <c r="J11" s="251"/>
      <c r="K11" s="251"/>
    </row>
    <row r="12" spans="1:11" ht="15" hidden="1" customHeight="1">
      <c r="A12" s="251"/>
      <c r="B12" s="255" t="s">
        <v>303</v>
      </c>
      <c r="C12" s="256"/>
      <c r="D12" s="251"/>
      <c r="E12" s="251"/>
      <c r="F12" s="251"/>
      <c r="G12" s="251"/>
      <c r="H12" s="251"/>
      <c r="I12" s="251"/>
      <c r="J12" s="251"/>
      <c r="K12" s="251"/>
    </row>
    <row r="13" spans="1:11" ht="6" hidden="1" customHeight="1">
      <c r="A13" s="251"/>
      <c r="B13" s="255"/>
      <c r="C13" s="257"/>
      <c r="D13" s="251"/>
      <c r="E13" s="251"/>
      <c r="F13" s="251"/>
      <c r="G13" s="251"/>
      <c r="H13" s="251"/>
      <c r="I13" s="251"/>
      <c r="J13" s="251"/>
      <c r="K13" s="251"/>
    </row>
    <row r="14" spans="1:11" ht="15" hidden="1" customHeight="1">
      <c r="A14" s="251"/>
      <c r="B14" s="255" t="s">
        <v>304</v>
      </c>
      <c r="C14" s="256"/>
      <c r="D14" s="251"/>
      <c r="E14" s="251"/>
      <c r="F14" s="251"/>
      <c r="G14" s="251"/>
      <c r="H14" s="251"/>
      <c r="I14" s="251"/>
      <c r="J14" s="251"/>
      <c r="K14" s="251"/>
    </row>
    <row r="15" spans="1:11" hidden="1">
      <c r="A15" s="251"/>
      <c r="B15" s="251"/>
      <c r="C15" s="251"/>
      <c r="D15" s="251"/>
      <c r="E15" s="251"/>
      <c r="F15" s="251"/>
      <c r="G15" s="251"/>
      <c r="H15" s="251"/>
      <c r="I15" s="251"/>
      <c r="J15" s="251"/>
      <c r="K15" s="251"/>
    </row>
    <row r="16" spans="1:11" ht="18" hidden="1">
      <c r="A16" s="251"/>
      <c r="B16" s="254" t="s">
        <v>305</v>
      </c>
      <c r="C16" s="251"/>
      <c r="D16" s="251"/>
      <c r="E16" s="251"/>
      <c r="F16" s="251"/>
      <c r="G16" s="251"/>
      <c r="H16" s="251"/>
      <c r="I16" s="251"/>
      <c r="J16" s="251"/>
      <c r="K16" s="251"/>
    </row>
    <row r="17" spans="1:12" hidden="1">
      <c r="A17" s="251"/>
      <c r="B17" s="255"/>
      <c r="C17" s="258" t="s">
        <v>306</v>
      </c>
      <c r="D17" s="258"/>
      <c r="E17" s="258" t="s">
        <v>307</v>
      </c>
      <c r="F17" s="258"/>
      <c r="G17" s="258" t="s">
        <v>308</v>
      </c>
      <c r="H17" s="258"/>
      <c r="I17" s="258" t="s">
        <v>309</v>
      </c>
      <c r="J17" s="251"/>
      <c r="K17" s="251"/>
    </row>
    <row r="18" spans="1:12" ht="15" hidden="1" customHeight="1">
      <c r="A18" s="251"/>
      <c r="B18" s="255" t="s">
        <v>310</v>
      </c>
      <c r="C18" s="259"/>
      <c r="D18" s="260"/>
      <c r="E18" s="261"/>
      <c r="F18" s="260"/>
      <c r="G18" s="261"/>
      <c r="H18" s="260"/>
      <c r="I18" s="261"/>
      <c r="J18" s="251"/>
      <c r="K18" s="251"/>
    </row>
    <row r="19" spans="1:12" ht="6" hidden="1" customHeight="1">
      <c r="A19" s="251"/>
      <c r="B19" s="257"/>
      <c r="C19" s="262"/>
      <c r="D19" s="263"/>
      <c r="E19" s="263"/>
      <c r="F19" s="263"/>
      <c r="G19" s="263"/>
      <c r="H19" s="263"/>
      <c r="I19" s="263"/>
      <c r="J19" s="251"/>
      <c r="K19" s="251"/>
    </row>
    <row r="20" spans="1:12" ht="15" hidden="1" customHeight="1">
      <c r="A20" s="251"/>
      <c r="B20" s="255" t="s">
        <v>311</v>
      </c>
      <c r="C20" s="326"/>
      <c r="D20" s="327"/>
      <c r="E20" s="328"/>
      <c r="F20" s="263"/>
      <c r="G20" s="263"/>
      <c r="H20" s="263"/>
      <c r="I20" s="263"/>
      <c r="J20" s="251"/>
      <c r="K20" s="251"/>
    </row>
    <row r="21" spans="1:12">
      <c r="A21" s="251"/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spans="1:12" ht="18">
      <c r="A22" s="251"/>
      <c r="B22" s="264" t="s">
        <v>312</v>
      </c>
      <c r="C22" s="251"/>
      <c r="D22" s="251"/>
      <c r="E22" s="251"/>
      <c r="F22" s="251"/>
      <c r="G22" s="251"/>
      <c r="H22" s="251"/>
      <c r="I22" s="251"/>
      <c r="J22" s="251"/>
      <c r="K22" s="251"/>
    </row>
    <row r="23" spans="1:12" ht="6" customHeight="1">
      <c r="A23" s="251"/>
      <c r="B23" s="251"/>
      <c r="C23" s="255"/>
      <c r="D23" s="251"/>
      <c r="E23" s="251"/>
      <c r="F23" s="251"/>
      <c r="G23" s="251"/>
      <c r="H23" s="251"/>
      <c r="I23" s="251"/>
      <c r="J23" s="251"/>
      <c r="K23" s="251"/>
    </row>
    <row r="24" spans="1:12" ht="15" hidden="1" customHeight="1">
      <c r="A24" s="265"/>
      <c r="B24" s="255" t="s">
        <v>313</v>
      </c>
      <c r="C24" s="259"/>
      <c r="D24" s="266"/>
      <c r="E24" s="251"/>
      <c r="F24" s="251"/>
      <c r="G24" s="251"/>
      <c r="H24" s="267"/>
      <c r="I24" s="268"/>
      <c r="J24" s="268"/>
      <c r="K24" s="268"/>
      <c r="L24" s="269"/>
    </row>
    <row r="25" spans="1:12" ht="6" hidden="1" customHeight="1">
      <c r="A25" s="265"/>
      <c r="B25" s="255"/>
      <c r="C25" s="270"/>
      <c r="D25" s="266"/>
      <c r="E25" s="251"/>
      <c r="F25" s="251"/>
      <c r="G25" s="251"/>
      <c r="H25" s="268"/>
      <c r="I25" s="251"/>
      <c r="J25" s="251"/>
      <c r="K25" s="251"/>
    </row>
    <row r="26" spans="1:12" ht="15" hidden="1" customHeight="1">
      <c r="A26" s="265"/>
      <c r="B26" s="255" t="s">
        <v>314</v>
      </c>
      <c r="C26" s="259"/>
      <c r="D26" s="266"/>
      <c r="E26" s="251"/>
      <c r="F26" s="251"/>
      <c r="G26" s="251"/>
      <c r="H26" s="268"/>
      <c r="I26" s="251"/>
      <c r="J26" s="251"/>
      <c r="K26" s="251"/>
    </row>
    <row r="27" spans="1:12" ht="6" hidden="1" customHeight="1">
      <c r="A27" s="265"/>
      <c r="B27" s="255"/>
      <c r="C27" s="270"/>
      <c r="D27" s="266"/>
      <c r="E27" s="251"/>
      <c r="F27" s="251"/>
      <c r="G27" s="251"/>
      <c r="H27" s="268"/>
      <c r="I27" s="251"/>
      <c r="J27" s="251"/>
      <c r="K27" s="251"/>
    </row>
    <row r="28" spans="1:12" ht="15" hidden="1" customHeight="1">
      <c r="A28" s="265"/>
      <c r="B28" s="255" t="s">
        <v>315</v>
      </c>
      <c r="C28" s="271"/>
      <c r="D28" s="251"/>
      <c r="E28" s="251"/>
      <c r="F28" s="251"/>
      <c r="G28" s="251"/>
      <c r="H28" s="268"/>
      <c r="I28" s="251"/>
      <c r="J28" s="251"/>
      <c r="K28" s="251"/>
    </row>
    <row r="29" spans="1:12" ht="6" hidden="1" customHeight="1">
      <c r="A29" s="265"/>
      <c r="B29" s="255"/>
      <c r="C29" s="272"/>
      <c r="D29" s="266"/>
      <c r="E29" s="251"/>
      <c r="F29" s="251"/>
      <c r="G29" s="251"/>
      <c r="H29" s="268"/>
      <c r="I29" s="251"/>
      <c r="J29" s="251"/>
      <c r="K29" s="251"/>
    </row>
    <row r="30" spans="1:12" ht="15" hidden="1" customHeight="1">
      <c r="A30" s="265"/>
      <c r="B30" s="255" t="s">
        <v>316</v>
      </c>
      <c r="C30" s="326"/>
      <c r="D30" s="327"/>
      <c r="E30" s="328"/>
      <c r="F30" s="251"/>
      <c r="G30" s="251"/>
      <c r="H30" s="251"/>
      <c r="I30" s="251"/>
      <c r="J30" s="251"/>
      <c r="K30" s="251"/>
    </row>
    <row r="31" spans="1:12" ht="6" hidden="1" customHeight="1">
      <c r="A31" s="265"/>
      <c r="B31" s="251"/>
      <c r="C31" s="273"/>
      <c r="D31" s="274"/>
      <c r="E31" s="275"/>
      <c r="F31" s="251"/>
      <c r="G31" s="251"/>
      <c r="H31" s="268"/>
      <c r="I31" s="251"/>
      <c r="J31" s="251"/>
      <c r="K31" s="251"/>
    </row>
    <row r="32" spans="1:12" ht="15" customHeight="1">
      <c r="A32" s="265"/>
      <c r="B32" s="260" t="s">
        <v>317</v>
      </c>
      <c r="C32" s="223" t="s">
        <v>359</v>
      </c>
      <c r="D32" s="274"/>
      <c r="E32" s="275"/>
      <c r="F32" s="251"/>
      <c r="G32" s="251"/>
      <c r="H32" s="268"/>
      <c r="I32" s="251"/>
      <c r="J32" s="251"/>
      <c r="K32" s="251"/>
    </row>
    <row r="33" spans="1:11" ht="6" customHeight="1">
      <c r="A33" s="265"/>
      <c r="B33" s="260"/>
      <c r="C33" s="274"/>
      <c r="D33" s="275"/>
      <c r="E33" s="275"/>
      <c r="F33" s="251"/>
      <c r="G33" s="268"/>
      <c r="H33" s="251"/>
      <c r="I33" s="251"/>
      <c r="J33" s="251"/>
      <c r="K33" s="251"/>
    </row>
    <row r="34" spans="1:11" hidden="1">
      <c r="A34" s="265"/>
      <c r="B34" s="277" t="s">
        <v>28</v>
      </c>
      <c r="C34" s="247" t="str">
        <f>IF(C32="Please select","", _xlfn.XLOOKUP(C32,[2]Products!B:B,[2]Products!E:E,0,0,1))</f>
        <v/>
      </c>
      <c r="D34" s="274"/>
      <c r="E34" s="275"/>
      <c r="F34" s="251"/>
      <c r="G34" s="251"/>
      <c r="H34" s="268"/>
      <c r="I34" s="251"/>
      <c r="J34" s="251"/>
      <c r="K34" s="251"/>
    </row>
    <row r="35" spans="1:11" ht="6" hidden="1" customHeight="1">
      <c r="A35" s="265"/>
      <c r="B35" s="277"/>
      <c r="C35" s="248"/>
      <c r="D35" s="274"/>
      <c r="E35" s="275"/>
      <c r="F35" s="251"/>
      <c r="G35" s="251"/>
      <c r="H35" s="268"/>
      <c r="I35" s="251"/>
      <c r="J35" s="251"/>
      <c r="K35" s="251"/>
    </row>
    <row r="36" spans="1:11" ht="15" customHeight="1">
      <c r="A36" s="265"/>
      <c r="B36" s="260" t="s">
        <v>319</v>
      </c>
      <c r="C36" s="223" t="s">
        <v>359</v>
      </c>
      <c r="D36" s="275"/>
      <c r="E36" s="275"/>
      <c r="F36" s="251"/>
      <c r="G36" s="251"/>
      <c r="H36" s="251"/>
      <c r="I36" s="251"/>
      <c r="J36" s="251"/>
      <c r="K36" s="251"/>
    </row>
    <row r="37" spans="1:11" ht="6" customHeight="1">
      <c r="A37" s="265"/>
      <c r="B37" s="260"/>
      <c r="C37" s="275"/>
      <c r="D37" s="275"/>
      <c r="E37" s="275"/>
      <c r="F37" s="251"/>
      <c r="G37" s="251"/>
      <c r="H37" s="251"/>
      <c r="I37" s="251"/>
      <c r="J37" s="251"/>
      <c r="K37" s="251"/>
    </row>
    <row r="38" spans="1:11" ht="15" hidden="1" customHeight="1">
      <c r="A38" s="265"/>
      <c r="B38" s="260" t="s">
        <v>35</v>
      </c>
      <c r="C38" s="276" t="s">
        <v>320</v>
      </c>
      <c r="D38" s="275"/>
      <c r="E38" s="275"/>
      <c r="F38" s="251"/>
      <c r="G38" s="251"/>
      <c r="H38" s="251"/>
      <c r="I38" s="251"/>
      <c r="J38" s="251"/>
      <c r="K38" s="251"/>
    </row>
    <row r="39" spans="1:11" ht="6" hidden="1" customHeight="1">
      <c r="A39" s="265"/>
      <c r="B39" s="260"/>
      <c r="C39" s="275"/>
      <c r="D39" s="275"/>
      <c r="E39" s="275"/>
      <c r="F39" s="251"/>
      <c r="G39" s="251"/>
      <c r="H39" s="251"/>
      <c r="I39" s="251"/>
      <c r="J39" s="251"/>
      <c r="K39" s="251"/>
    </row>
    <row r="40" spans="1:11" ht="15" hidden="1" customHeight="1">
      <c r="A40" s="265"/>
      <c r="B40" s="260" t="s">
        <v>38</v>
      </c>
      <c r="C40" s="276"/>
      <c r="D40" s="275"/>
      <c r="E40" s="275"/>
      <c r="F40" s="251"/>
      <c r="G40" s="251"/>
      <c r="H40" s="251"/>
      <c r="I40" s="251"/>
      <c r="J40" s="251"/>
      <c r="K40" s="251"/>
    </row>
    <row r="41" spans="1:11" ht="6" hidden="1" customHeight="1">
      <c r="A41" s="265"/>
      <c r="B41" s="260"/>
      <c r="C41" s="278"/>
      <c r="D41" s="251"/>
      <c r="E41" s="251"/>
      <c r="F41" s="251"/>
      <c r="G41" s="251"/>
      <c r="H41" s="251"/>
      <c r="I41" s="251"/>
      <c r="J41" s="251"/>
      <c r="K41" s="251"/>
    </row>
    <row r="42" spans="1:11">
      <c r="A42" s="265"/>
      <c r="B42" s="263"/>
      <c r="C42" s="279" t="s">
        <v>213</v>
      </c>
      <c r="D42" s="279"/>
      <c r="E42" s="279" t="s">
        <v>41</v>
      </c>
      <c r="F42" s="279"/>
      <c r="G42" s="279" t="s">
        <v>42</v>
      </c>
      <c r="H42" s="279"/>
      <c r="I42" s="279" t="s">
        <v>43</v>
      </c>
      <c r="J42" s="251"/>
      <c r="K42" s="251"/>
    </row>
    <row r="43" spans="1:11" ht="15" customHeight="1">
      <c r="A43" s="265"/>
      <c r="B43" s="260" t="s">
        <v>265</v>
      </c>
      <c r="C43" s="224"/>
      <c r="D43" s="246"/>
      <c r="E43" s="224"/>
      <c r="F43" s="246"/>
      <c r="G43" s="224"/>
      <c r="H43" s="246"/>
      <c r="I43" s="224"/>
      <c r="J43" s="251"/>
      <c r="K43" s="251"/>
    </row>
    <row r="44" spans="1:11" ht="6" customHeight="1">
      <c r="A44" s="265"/>
      <c r="B44" s="260"/>
      <c r="C44" s="246"/>
      <c r="D44" s="246"/>
      <c r="E44" s="246"/>
      <c r="F44" s="246"/>
      <c r="G44" s="246"/>
      <c r="H44" s="246"/>
      <c r="I44" s="246"/>
      <c r="J44" s="251"/>
      <c r="K44" s="251"/>
    </row>
    <row r="45" spans="1:11" ht="15" customHeight="1">
      <c r="A45" s="265"/>
      <c r="B45" s="260" t="s">
        <v>321</v>
      </c>
      <c r="C45" s="225"/>
      <c r="D45" s="280"/>
      <c r="E45" s="225"/>
      <c r="F45" s="270"/>
      <c r="G45" s="225"/>
      <c r="H45" s="270"/>
      <c r="I45" s="225"/>
      <c r="J45" s="251"/>
      <c r="K45" s="251"/>
    </row>
    <row r="46" spans="1:11" ht="6" customHeight="1">
      <c r="A46" s="265"/>
      <c r="B46" s="260"/>
      <c r="C46" s="281"/>
      <c r="D46" s="282"/>
      <c r="E46" s="281"/>
      <c r="F46" s="260"/>
      <c r="G46" s="281"/>
      <c r="H46" s="260"/>
      <c r="I46" s="281"/>
      <c r="J46" s="251"/>
      <c r="K46" s="251"/>
    </row>
    <row r="47" spans="1:11" ht="15" customHeight="1">
      <c r="A47" s="265"/>
      <c r="B47" s="260" t="s">
        <v>322</v>
      </c>
      <c r="C47" s="222"/>
      <c r="D47" s="282"/>
      <c r="E47" s="260"/>
      <c r="F47" s="260"/>
      <c r="G47" s="260"/>
      <c r="H47" s="260"/>
      <c r="I47" s="260"/>
      <c r="J47" s="251"/>
      <c r="K47" s="251"/>
    </row>
    <row r="48" spans="1:11" hidden="1">
      <c r="A48" s="265"/>
      <c r="B48" s="277" t="s">
        <v>323</v>
      </c>
      <c r="C48" s="283" t="str">
        <f>IF(ISBLANK(C45),"", EDATE(C45,C47))</f>
        <v/>
      </c>
      <c r="D48" s="282"/>
      <c r="E48" s="260"/>
      <c r="F48" s="260"/>
      <c r="G48" s="260"/>
      <c r="H48" s="260"/>
      <c r="I48" s="260"/>
      <c r="J48" s="251"/>
      <c r="K48" s="251"/>
    </row>
    <row r="49" spans="1:11" ht="6" hidden="1" customHeight="1">
      <c r="A49" s="265"/>
      <c r="B49" s="277"/>
      <c r="C49" s="284"/>
      <c r="D49" s="282"/>
      <c r="E49" s="260"/>
      <c r="F49" s="260"/>
      <c r="G49" s="260"/>
      <c r="H49" s="260"/>
      <c r="I49" s="260"/>
      <c r="J49" s="251"/>
      <c r="K49" s="251"/>
    </row>
    <row r="50" spans="1:11" hidden="1">
      <c r="A50" s="265"/>
      <c r="B50" s="277" t="s">
        <v>60</v>
      </c>
      <c r="C50" s="244" t="e">
        <f>SUM(C43:I43,C60:C64)/J98</f>
        <v>#DIV/0!</v>
      </c>
      <c r="D50" s="260"/>
      <c r="E50" s="260"/>
      <c r="F50" s="260"/>
      <c r="G50" s="260"/>
      <c r="H50" s="260"/>
      <c r="I50" s="260"/>
      <c r="J50" s="251"/>
      <c r="K50" s="251"/>
    </row>
    <row r="51" spans="1:11" ht="6" hidden="1" customHeight="1">
      <c r="A51" s="265"/>
      <c r="B51" s="277"/>
      <c r="C51" s="245"/>
      <c r="D51" s="260"/>
      <c r="E51" s="260"/>
      <c r="F51" s="260"/>
      <c r="G51" s="260"/>
      <c r="H51" s="260"/>
      <c r="I51" s="260"/>
      <c r="J51" s="251"/>
      <c r="K51" s="251"/>
    </row>
    <row r="52" spans="1:11" hidden="1">
      <c r="A52" s="265"/>
      <c r="B52" s="277" t="s">
        <v>324</v>
      </c>
      <c r="C52" s="285">
        <f>COUNT(C43:I43)</f>
        <v>0</v>
      </c>
      <c r="D52" s="260"/>
      <c r="E52" s="260"/>
      <c r="F52" s="260"/>
      <c r="G52" s="260"/>
      <c r="H52" s="260"/>
      <c r="I52" s="260"/>
      <c r="J52" s="251"/>
      <c r="K52" s="251"/>
    </row>
    <row r="53" spans="1:11" ht="14.5" customHeight="1">
      <c r="A53" s="265"/>
      <c r="B53" s="263"/>
      <c r="C53" s="262"/>
      <c r="D53" s="263"/>
      <c r="E53" s="263"/>
      <c r="F53" s="263"/>
      <c r="G53" s="263"/>
      <c r="H53" s="263"/>
      <c r="I53" s="263"/>
      <c r="J53" s="251"/>
      <c r="K53" s="251"/>
    </row>
    <row r="54" spans="1:11" ht="19">
      <c r="A54" s="265"/>
      <c r="B54" s="286" t="s">
        <v>325</v>
      </c>
      <c r="C54" s="263"/>
      <c r="D54" s="263"/>
      <c r="E54" s="278" t="s">
        <v>326</v>
      </c>
      <c r="F54" s="263"/>
      <c r="G54" s="287"/>
      <c r="H54" s="251"/>
      <c r="I54" s="251"/>
      <c r="J54" s="251"/>
      <c r="K54" s="251"/>
    </row>
    <row r="55" spans="1:11" ht="6" customHeight="1">
      <c r="A55" s="265"/>
      <c r="B55" s="286"/>
      <c r="C55" s="263"/>
      <c r="D55" s="263"/>
      <c r="E55" s="278"/>
      <c r="F55" s="263"/>
      <c r="G55" s="287"/>
      <c r="H55" s="251"/>
      <c r="I55" s="251"/>
      <c r="J55" s="251"/>
      <c r="K55" s="251"/>
    </row>
    <row r="56" spans="1:11" ht="15" customHeight="1">
      <c r="A56" s="265"/>
      <c r="B56" s="272" t="s">
        <v>327</v>
      </c>
      <c r="C56" s="226"/>
      <c r="D56" s="262"/>
      <c r="E56" s="223"/>
      <c r="F56" s="263"/>
      <c r="G56" s="251"/>
      <c r="H56" s="251"/>
      <c r="I56" s="251"/>
      <c r="J56" s="251"/>
      <c r="K56" s="251"/>
    </row>
    <row r="57" spans="1:11" ht="6" customHeight="1">
      <c r="A57" s="265"/>
      <c r="B57" s="272"/>
      <c r="C57" s="242"/>
      <c r="D57" s="262"/>
      <c r="E57" s="262"/>
      <c r="F57" s="251"/>
      <c r="G57" s="251"/>
      <c r="H57" s="251"/>
      <c r="I57" s="251"/>
      <c r="J57" s="251"/>
      <c r="K57" s="251"/>
    </row>
    <row r="58" spans="1:11" ht="15" customHeight="1">
      <c r="A58" s="265"/>
      <c r="B58" s="272" t="s">
        <v>247</v>
      </c>
      <c r="C58" s="226"/>
      <c r="D58" s="262"/>
      <c r="E58" s="223"/>
      <c r="F58" s="263"/>
      <c r="G58" s="251"/>
      <c r="H58" s="251"/>
      <c r="I58" s="251"/>
      <c r="J58" s="251"/>
      <c r="K58" s="251"/>
    </row>
    <row r="59" spans="1:11" ht="6" customHeight="1">
      <c r="A59" s="265"/>
      <c r="B59" s="272"/>
      <c r="C59" s="242"/>
      <c r="D59" s="262"/>
      <c r="E59" s="262"/>
      <c r="F59" s="251"/>
      <c r="G59" s="251"/>
      <c r="H59" s="251"/>
      <c r="I59" s="251"/>
      <c r="J59" s="251"/>
      <c r="K59" s="251"/>
    </row>
    <row r="60" spans="1:11" ht="15" customHeight="1">
      <c r="A60" s="265"/>
      <c r="B60" s="272" t="s">
        <v>272</v>
      </c>
      <c r="C60" s="243" t="str">
        <f>IF(Calculator!C32="Please select", "", 'Cashflow Calculator'!C14)</f>
        <v/>
      </c>
      <c r="D60" s="262"/>
      <c r="E60" s="223"/>
      <c r="F60" s="263"/>
      <c r="G60" s="251"/>
      <c r="H60" s="251"/>
      <c r="I60" s="251"/>
      <c r="J60" s="251"/>
      <c r="K60" s="251"/>
    </row>
    <row r="61" spans="1:11" ht="6" customHeight="1">
      <c r="A61" s="265"/>
      <c r="B61" s="272"/>
      <c r="C61" s="242"/>
      <c r="D61" s="262"/>
      <c r="E61" s="262"/>
      <c r="F61" s="251"/>
      <c r="G61" s="251"/>
      <c r="H61" s="251"/>
      <c r="I61" s="251"/>
      <c r="J61" s="251"/>
      <c r="K61" s="251"/>
    </row>
    <row r="62" spans="1:11" ht="15" customHeight="1">
      <c r="A62" s="265"/>
      <c r="B62" s="272" t="s">
        <v>328</v>
      </c>
      <c r="C62" s="243">
        <v>25</v>
      </c>
      <c r="D62" s="262"/>
      <c r="E62" s="223"/>
      <c r="F62" s="263"/>
      <c r="G62" s="251"/>
      <c r="H62" s="251"/>
      <c r="I62" s="251"/>
      <c r="J62" s="251"/>
      <c r="K62" s="251"/>
    </row>
    <row r="63" spans="1:11" ht="6" customHeight="1">
      <c r="A63" s="265"/>
      <c r="B63" s="272"/>
      <c r="C63" s="242"/>
      <c r="D63" s="262"/>
      <c r="E63" s="262"/>
      <c r="F63" s="251"/>
      <c r="G63" s="251"/>
      <c r="H63" s="251"/>
      <c r="I63" s="251"/>
      <c r="J63" s="251"/>
      <c r="K63" s="251"/>
    </row>
    <row r="64" spans="1:11" ht="15" customHeight="1">
      <c r="A64" s="265"/>
      <c r="B64" s="272" t="s">
        <v>280</v>
      </c>
      <c r="C64" s="243">
        <v>150</v>
      </c>
      <c r="D64" s="262"/>
      <c r="E64" s="223"/>
      <c r="F64" s="263"/>
      <c r="G64" s="251"/>
      <c r="H64" s="251"/>
      <c r="I64" s="251"/>
      <c r="J64" s="251"/>
      <c r="K64" s="251"/>
    </row>
    <row r="65" spans="1:12" ht="6" customHeight="1">
      <c r="A65" s="265"/>
      <c r="B65" s="272"/>
      <c r="C65" s="242"/>
      <c r="D65" s="262"/>
      <c r="E65" s="262"/>
      <c r="F65" s="251"/>
      <c r="G65" s="251"/>
      <c r="H65" s="251"/>
      <c r="I65" s="251"/>
      <c r="J65" s="251"/>
      <c r="K65" s="251"/>
    </row>
    <row r="66" spans="1:12" ht="15" customHeight="1">
      <c r="A66" s="251"/>
      <c r="B66" s="272" t="s">
        <v>329</v>
      </c>
      <c r="C66" s="226"/>
      <c r="D66" s="262"/>
      <c r="E66" s="276" t="s">
        <v>87</v>
      </c>
      <c r="F66" s="263"/>
      <c r="G66" s="257" t="s">
        <v>330</v>
      </c>
      <c r="H66" s="251"/>
      <c r="I66" s="251"/>
      <c r="J66" s="251"/>
      <c r="K66" s="251"/>
    </row>
    <row r="67" spans="1:12" ht="6" customHeight="1">
      <c r="A67" s="251"/>
      <c r="B67" s="272"/>
      <c r="C67" s="242"/>
      <c r="D67" s="262"/>
      <c r="E67" s="262"/>
      <c r="F67" s="251"/>
      <c r="G67" s="257"/>
      <c r="H67" s="251"/>
      <c r="I67" s="251"/>
      <c r="J67" s="251"/>
      <c r="K67" s="251"/>
    </row>
    <row r="68" spans="1:12" ht="15" customHeight="1">
      <c r="A68" s="251"/>
      <c r="B68" s="272" t="s">
        <v>331</v>
      </c>
      <c r="C68" s="226"/>
      <c r="D68" s="262"/>
      <c r="E68" s="276" t="s">
        <v>87</v>
      </c>
      <c r="F68" s="263"/>
      <c r="G68" s="257" t="s">
        <v>332</v>
      </c>
      <c r="H68" s="251"/>
      <c r="I68" s="251"/>
      <c r="J68" s="251"/>
      <c r="K68" s="251"/>
    </row>
    <row r="69" spans="1:12" ht="6" customHeight="1">
      <c r="A69" s="251"/>
      <c r="B69" s="272"/>
      <c r="C69" s="239"/>
      <c r="D69" s="263"/>
      <c r="E69" s="263"/>
      <c r="F69" s="263"/>
      <c r="G69" s="265"/>
      <c r="H69" s="251"/>
      <c r="I69" s="251"/>
      <c r="J69" s="251"/>
      <c r="K69" s="251"/>
    </row>
    <row r="70" spans="1:12" ht="15" customHeight="1">
      <c r="A70" s="251"/>
      <c r="B70" s="272" t="s">
        <v>333</v>
      </c>
      <c r="C70" s="240">
        <v>105</v>
      </c>
      <c r="D70" s="263"/>
      <c r="E70" s="262" t="s">
        <v>334</v>
      </c>
      <c r="F70" s="251"/>
      <c r="G70" s="265"/>
      <c r="H70" s="251"/>
      <c r="I70" s="251"/>
      <c r="J70" s="251"/>
      <c r="K70" s="251"/>
    </row>
    <row r="71" spans="1:12">
      <c r="A71" s="251"/>
      <c r="B71" s="272"/>
      <c r="C71" s="241"/>
      <c r="D71" s="263"/>
      <c r="E71" s="263"/>
      <c r="F71" s="251"/>
      <c r="G71" s="265"/>
      <c r="H71" s="251"/>
      <c r="I71" s="251"/>
      <c r="J71" s="251"/>
      <c r="K71" s="251"/>
    </row>
    <row r="72" spans="1:12" ht="18">
      <c r="A72" s="251"/>
      <c r="B72" s="254" t="s">
        <v>335</v>
      </c>
      <c r="C72" s="251"/>
      <c r="D72" s="251"/>
      <c r="E72" s="251"/>
      <c r="F72" s="251"/>
      <c r="G72" s="251"/>
      <c r="H72" s="251"/>
      <c r="I72" s="251"/>
      <c r="J72" s="251"/>
      <c r="K72" s="251"/>
    </row>
    <row r="73" spans="1:12" ht="15" customHeight="1">
      <c r="A73" s="251"/>
      <c r="B73" s="272"/>
      <c r="C73" s="272" t="s">
        <v>336</v>
      </c>
      <c r="D73" s="272"/>
      <c r="E73" s="272" t="s">
        <v>339</v>
      </c>
      <c r="F73" s="260"/>
      <c r="G73" s="272" t="s">
        <v>337</v>
      </c>
      <c r="H73" s="260"/>
      <c r="I73" s="272" t="s">
        <v>338</v>
      </c>
      <c r="J73" s="263" t="s">
        <v>52</v>
      </c>
      <c r="K73" s="263" t="s">
        <v>341</v>
      </c>
      <c r="L73" s="272"/>
    </row>
    <row r="74" spans="1:12" ht="6" customHeight="1">
      <c r="A74" s="251"/>
      <c r="B74" s="272"/>
      <c r="C74" s="272"/>
      <c r="D74" s="272"/>
      <c r="E74" s="272"/>
      <c r="F74" s="260"/>
      <c r="G74" s="272"/>
      <c r="H74" s="260"/>
      <c r="I74" s="272"/>
      <c r="J74" s="272"/>
      <c r="K74" s="263"/>
      <c r="L74" s="272"/>
    </row>
    <row r="75" spans="1:12" ht="15" customHeight="1">
      <c r="A75" s="251"/>
      <c r="B75" s="288" t="s">
        <v>340</v>
      </c>
      <c r="C75" s="229"/>
      <c r="D75" s="233"/>
      <c r="E75" s="229"/>
      <c r="F75" s="233"/>
      <c r="G75" s="229"/>
      <c r="H75" s="289"/>
      <c r="I75" s="290" t="s">
        <v>97</v>
      </c>
      <c r="J75" s="231">
        <f>IF(I75="Yes",MIN(C75:E75),(E75*70%)-G75)</f>
        <v>0</v>
      </c>
      <c r="K75" s="232">
        <f>IF(I75="Yes",MIN(J75*75%),(J75*70%))</f>
        <v>0</v>
      </c>
      <c r="L75" s="228"/>
    </row>
    <row r="76" spans="1:12" ht="6" customHeight="1">
      <c r="A76" s="251"/>
      <c r="B76" s="291"/>
      <c r="C76" s="230"/>
      <c r="D76" s="230"/>
      <c r="E76" s="230"/>
      <c r="F76" s="292"/>
      <c r="G76" s="230"/>
      <c r="H76" s="292"/>
      <c r="I76" s="293"/>
      <c r="J76" s="231"/>
      <c r="K76" s="232"/>
      <c r="L76" s="228"/>
    </row>
    <row r="77" spans="1:12" ht="6" customHeight="1">
      <c r="A77" s="251"/>
      <c r="B77" s="272"/>
      <c r="C77" s="228"/>
      <c r="D77" s="228"/>
      <c r="E77" s="228"/>
      <c r="F77" s="270"/>
      <c r="G77" s="228"/>
      <c r="H77" s="270"/>
      <c r="I77" s="294"/>
      <c r="J77" s="231"/>
      <c r="K77" s="232"/>
      <c r="L77" s="228"/>
    </row>
    <row r="78" spans="1:12" ht="15" customHeight="1">
      <c r="A78" s="251"/>
      <c r="B78" s="272"/>
      <c r="C78" s="272" t="s">
        <v>336</v>
      </c>
      <c r="D78" s="272"/>
      <c r="E78" s="272" t="s">
        <v>339</v>
      </c>
      <c r="F78" s="260"/>
      <c r="G78" s="272" t="s">
        <v>337</v>
      </c>
      <c r="H78" s="260"/>
      <c r="I78" s="272" t="s">
        <v>338</v>
      </c>
      <c r="J78" s="231"/>
      <c r="K78" s="232"/>
      <c r="L78" s="272"/>
    </row>
    <row r="79" spans="1:12" ht="6" customHeight="1">
      <c r="A79" s="251"/>
      <c r="B79" s="272"/>
      <c r="C79" s="272"/>
      <c r="D79" s="272"/>
      <c r="E79" s="272"/>
      <c r="F79" s="260"/>
      <c r="G79" s="272"/>
      <c r="H79" s="260"/>
      <c r="I79" s="272"/>
      <c r="J79" s="231"/>
      <c r="K79" s="232"/>
      <c r="L79" s="272"/>
    </row>
    <row r="80" spans="1:12" ht="15" customHeight="1">
      <c r="A80" s="251"/>
      <c r="B80" s="288" t="s">
        <v>342</v>
      </c>
      <c r="C80" s="229"/>
      <c r="D80" s="233"/>
      <c r="E80" s="229"/>
      <c r="F80" s="233"/>
      <c r="G80" s="229"/>
      <c r="H80" s="289"/>
      <c r="I80" s="227"/>
      <c r="J80" s="231">
        <f t="shared" ref="J80:J96" si="0">IF(I80="Yes",MIN(C80:E80),(E80*70%)-G80)</f>
        <v>0</v>
      </c>
      <c r="K80" s="232">
        <f t="shared" ref="K80:K96" si="1">IF(I80="Yes",MIN(J80*75%),(J80*70%))</f>
        <v>0</v>
      </c>
      <c r="L80" s="228"/>
    </row>
    <row r="81" spans="1:12" ht="6" customHeight="1">
      <c r="A81" s="251"/>
      <c r="B81" s="291"/>
      <c r="C81" s="230"/>
      <c r="D81" s="230"/>
      <c r="E81" s="230"/>
      <c r="F81" s="292"/>
      <c r="G81" s="230"/>
      <c r="H81" s="292"/>
      <c r="I81" s="293"/>
      <c r="J81" s="231"/>
      <c r="K81" s="232"/>
      <c r="L81" s="228"/>
    </row>
    <row r="82" spans="1:12" ht="15" customHeight="1">
      <c r="A82" s="251"/>
      <c r="B82" s="272" t="s">
        <v>343</v>
      </c>
      <c r="C82" s="229"/>
      <c r="D82" s="233"/>
      <c r="E82" s="229"/>
      <c r="F82" s="233"/>
      <c r="G82" s="229"/>
      <c r="H82" s="289"/>
      <c r="I82" s="227"/>
      <c r="J82" s="231">
        <f t="shared" si="0"/>
        <v>0</v>
      </c>
      <c r="K82" s="232">
        <f t="shared" si="1"/>
        <v>0</v>
      </c>
      <c r="L82" s="228"/>
    </row>
    <row r="83" spans="1:12" ht="6" customHeight="1">
      <c r="A83" s="251"/>
      <c r="B83" s="272"/>
      <c r="C83" s="228"/>
      <c r="D83" s="228"/>
      <c r="E83" s="228"/>
      <c r="F83" s="270"/>
      <c r="G83" s="228"/>
      <c r="H83" s="270"/>
      <c r="I83" s="294"/>
      <c r="J83" s="231"/>
      <c r="K83" s="232"/>
      <c r="L83" s="228"/>
    </row>
    <row r="84" spans="1:12" ht="15" customHeight="1">
      <c r="A84" s="251"/>
      <c r="B84" s="288" t="s">
        <v>344</v>
      </c>
      <c r="C84" s="229"/>
      <c r="D84" s="233"/>
      <c r="E84" s="229"/>
      <c r="F84" s="233"/>
      <c r="G84" s="229"/>
      <c r="H84" s="289"/>
      <c r="I84" s="227"/>
      <c r="J84" s="231">
        <f t="shared" si="0"/>
        <v>0</v>
      </c>
      <c r="K84" s="232">
        <f t="shared" si="1"/>
        <v>0</v>
      </c>
      <c r="L84" s="228"/>
    </row>
    <row r="85" spans="1:12" ht="6" customHeight="1">
      <c r="A85" s="251"/>
      <c r="B85" s="291"/>
      <c r="C85" s="230"/>
      <c r="D85" s="230"/>
      <c r="E85" s="230"/>
      <c r="F85" s="292"/>
      <c r="G85" s="230"/>
      <c r="H85" s="292"/>
      <c r="I85" s="293"/>
      <c r="J85" s="231"/>
      <c r="K85" s="232"/>
      <c r="L85" s="228"/>
    </row>
    <row r="86" spans="1:12" ht="15" customHeight="1">
      <c r="A86" s="251"/>
      <c r="B86" s="272" t="s">
        <v>345</v>
      </c>
      <c r="C86" s="229"/>
      <c r="D86" s="233"/>
      <c r="E86" s="229"/>
      <c r="F86" s="233"/>
      <c r="G86" s="229"/>
      <c r="H86" s="289"/>
      <c r="I86" s="227"/>
      <c r="J86" s="231">
        <f t="shared" si="0"/>
        <v>0</v>
      </c>
      <c r="K86" s="232">
        <f t="shared" si="1"/>
        <v>0</v>
      </c>
      <c r="L86" s="228"/>
    </row>
    <row r="87" spans="1:12" ht="6" customHeight="1">
      <c r="A87" s="251"/>
      <c r="B87" s="272"/>
      <c r="C87" s="228"/>
      <c r="D87" s="228"/>
      <c r="E87" s="228"/>
      <c r="F87" s="270"/>
      <c r="G87" s="228"/>
      <c r="H87" s="270"/>
      <c r="I87" s="294"/>
      <c r="J87" s="231"/>
      <c r="K87" s="232"/>
      <c r="L87" s="228"/>
    </row>
    <row r="88" spans="1:12" ht="15" customHeight="1">
      <c r="A88" s="251"/>
      <c r="B88" s="288" t="s">
        <v>346</v>
      </c>
      <c r="C88" s="229"/>
      <c r="D88" s="233"/>
      <c r="E88" s="229"/>
      <c r="F88" s="233"/>
      <c r="G88" s="229"/>
      <c r="H88" s="289"/>
      <c r="I88" s="227"/>
      <c r="J88" s="231">
        <f t="shared" si="0"/>
        <v>0</v>
      </c>
      <c r="K88" s="232">
        <f t="shared" si="1"/>
        <v>0</v>
      </c>
      <c r="L88" s="228"/>
    </row>
    <row r="89" spans="1:12" ht="6" customHeight="1">
      <c r="A89" s="251"/>
      <c r="B89" s="291"/>
      <c r="C89" s="230"/>
      <c r="D89" s="230"/>
      <c r="E89" s="230"/>
      <c r="F89" s="292"/>
      <c r="G89" s="230"/>
      <c r="H89" s="292"/>
      <c r="I89" s="293"/>
      <c r="J89" s="231"/>
      <c r="K89" s="232"/>
      <c r="L89" s="228"/>
    </row>
    <row r="90" spans="1:12" ht="15" customHeight="1">
      <c r="A90" s="251"/>
      <c r="B90" s="272" t="s">
        <v>347</v>
      </c>
      <c r="C90" s="229"/>
      <c r="D90" s="233"/>
      <c r="E90" s="229"/>
      <c r="F90" s="233"/>
      <c r="G90" s="229"/>
      <c r="H90" s="289"/>
      <c r="I90" s="227"/>
      <c r="J90" s="231">
        <f t="shared" si="0"/>
        <v>0</v>
      </c>
      <c r="K90" s="232">
        <f t="shared" si="1"/>
        <v>0</v>
      </c>
      <c r="L90" s="228"/>
    </row>
    <row r="91" spans="1:12" ht="6" customHeight="1">
      <c r="A91" s="251"/>
      <c r="B91" s="272"/>
      <c r="C91" s="228"/>
      <c r="D91" s="228"/>
      <c r="E91" s="228"/>
      <c r="F91" s="270"/>
      <c r="G91" s="228"/>
      <c r="H91" s="270"/>
      <c r="I91" s="294"/>
      <c r="J91" s="231"/>
      <c r="K91" s="232"/>
      <c r="L91" s="228"/>
    </row>
    <row r="92" spans="1:12" ht="15" customHeight="1">
      <c r="A92" s="251"/>
      <c r="B92" s="288" t="s">
        <v>348</v>
      </c>
      <c r="C92" s="229"/>
      <c r="D92" s="233"/>
      <c r="E92" s="229"/>
      <c r="F92" s="233"/>
      <c r="G92" s="229"/>
      <c r="H92" s="289"/>
      <c r="I92" s="227"/>
      <c r="J92" s="231">
        <f t="shared" si="0"/>
        <v>0</v>
      </c>
      <c r="K92" s="232">
        <f t="shared" si="1"/>
        <v>0</v>
      </c>
      <c r="L92" s="228"/>
    </row>
    <row r="93" spans="1:12" ht="6" customHeight="1">
      <c r="A93" s="251"/>
      <c r="B93" s="291"/>
      <c r="C93" s="230"/>
      <c r="D93" s="230"/>
      <c r="E93" s="230"/>
      <c r="F93" s="292"/>
      <c r="G93" s="230"/>
      <c r="H93" s="292"/>
      <c r="I93" s="293"/>
      <c r="J93" s="231"/>
      <c r="K93" s="232"/>
      <c r="L93" s="228"/>
    </row>
    <row r="94" spans="1:12" ht="15" customHeight="1">
      <c r="A94" s="251"/>
      <c r="B94" s="272" t="s">
        <v>349</v>
      </c>
      <c r="C94" s="229"/>
      <c r="D94" s="233"/>
      <c r="E94" s="229"/>
      <c r="F94" s="233"/>
      <c r="G94" s="229"/>
      <c r="H94" s="289"/>
      <c r="I94" s="227"/>
      <c r="J94" s="231">
        <f t="shared" si="0"/>
        <v>0</v>
      </c>
      <c r="K94" s="232">
        <f t="shared" si="1"/>
        <v>0</v>
      </c>
      <c r="L94" s="228"/>
    </row>
    <row r="95" spans="1:12" ht="6" customHeight="1">
      <c r="A95" s="251"/>
      <c r="B95" s="272"/>
      <c r="C95" s="228"/>
      <c r="D95" s="228"/>
      <c r="E95" s="228"/>
      <c r="F95" s="270"/>
      <c r="G95" s="228"/>
      <c r="H95" s="270"/>
      <c r="I95" s="294"/>
      <c r="J95" s="231"/>
      <c r="K95" s="232"/>
      <c r="L95" s="228"/>
    </row>
    <row r="96" spans="1:12" ht="15" customHeight="1">
      <c r="A96" s="251"/>
      <c r="B96" s="288" t="s">
        <v>350</v>
      </c>
      <c r="C96" s="229"/>
      <c r="D96" s="233"/>
      <c r="E96" s="229"/>
      <c r="F96" s="233"/>
      <c r="G96" s="229"/>
      <c r="H96" s="289"/>
      <c r="I96" s="227"/>
      <c r="J96" s="231">
        <f t="shared" si="0"/>
        <v>0</v>
      </c>
      <c r="K96" s="232">
        <f t="shared" si="1"/>
        <v>0</v>
      </c>
      <c r="L96" s="228"/>
    </row>
    <row r="97" spans="1:12" ht="6" customHeight="1">
      <c r="A97" s="251"/>
      <c r="B97" s="295"/>
      <c r="C97" s="234"/>
      <c r="D97" s="234"/>
      <c r="E97" s="234"/>
      <c r="F97" s="295"/>
      <c r="G97" s="234"/>
      <c r="H97" s="295"/>
      <c r="I97" s="295"/>
      <c r="J97" s="231"/>
      <c r="K97" s="232"/>
      <c r="L97" s="235"/>
    </row>
    <row r="98" spans="1:12" hidden="1">
      <c r="A98" s="251"/>
      <c r="B98" s="296" t="s">
        <v>166</v>
      </c>
      <c r="C98" s="236">
        <f>SUM(C75:C96)</f>
        <v>0</v>
      </c>
      <c r="D98" s="296"/>
      <c r="E98" s="236">
        <f>SUM(E75:E96)</f>
        <v>0</v>
      </c>
      <c r="F98" s="236"/>
      <c r="G98" s="236">
        <f t="shared" ref="G98:K98" si="2">SUM(G75:G96)</f>
        <v>0</v>
      </c>
      <c r="H98" s="236"/>
      <c r="I98" s="236"/>
      <c r="J98" s="236">
        <f t="shared" si="2"/>
        <v>0</v>
      </c>
      <c r="K98" s="236">
        <f t="shared" si="2"/>
        <v>0</v>
      </c>
    </row>
    <row r="99" spans="1:12">
      <c r="B99" s="251"/>
      <c r="C99" s="251"/>
      <c r="D99" s="251"/>
      <c r="E99" s="251"/>
      <c r="F99" s="251"/>
      <c r="H99" s="251"/>
      <c r="I99" s="251"/>
      <c r="K99" s="251"/>
    </row>
    <row r="100" spans="1:12" hidden="1">
      <c r="A100" s="265"/>
      <c r="B100" s="277" t="s">
        <v>351</v>
      </c>
      <c r="C100" s="237">
        <f>_xlfn.XLOOKUP($C$32,Products!$B:$B,Products!$G:$G,0,0,1)</f>
        <v>0</v>
      </c>
      <c r="D100" s="260"/>
      <c r="E100" s="260"/>
      <c r="F100" s="260"/>
      <c r="G100" s="260"/>
      <c r="H100" s="260"/>
      <c r="I100" s="260"/>
      <c r="J100" s="251"/>
      <c r="K100" s="251"/>
    </row>
    <row r="101" spans="1:12" hidden="1">
      <c r="A101" s="265"/>
      <c r="B101" s="277" t="s">
        <v>352</v>
      </c>
      <c r="C101" s="277" t="s">
        <v>73</v>
      </c>
      <c r="D101" s="260"/>
      <c r="E101" s="260"/>
      <c r="F101" s="260"/>
      <c r="G101" s="260"/>
      <c r="H101" s="260"/>
      <c r="I101" s="260"/>
      <c r="J101" s="251"/>
      <c r="K101" s="251"/>
    </row>
    <row r="102" spans="1:12" s="300" customFormat="1" ht="20" customHeight="1">
      <c r="A102" s="297"/>
      <c r="B102" s="260" t="s">
        <v>353</v>
      </c>
      <c r="C102" s="238">
        <f>IF(C101="Rolled",'Cashflow Calculator'!$C$21,"n/a")</f>
        <v>0</v>
      </c>
      <c r="D102" s="298"/>
      <c r="E102" s="298"/>
      <c r="F102" s="298"/>
      <c r="G102" s="298"/>
      <c r="H102" s="298"/>
      <c r="I102" s="298"/>
      <c r="J102" s="299"/>
      <c r="K102" s="299"/>
    </row>
    <row r="103" spans="1:12" ht="6" customHeight="1">
      <c r="A103" s="265"/>
      <c r="B103" s="260"/>
      <c r="C103" s="301"/>
      <c r="D103" s="260"/>
      <c r="E103" s="260"/>
      <c r="F103" s="260"/>
      <c r="G103" s="260"/>
      <c r="H103" s="260"/>
      <c r="I103" s="260"/>
      <c r="J103" s="251"/>
      <c r="K103" s="251"/>
    </row>
    <row r="104" spans="1:12" s="300" customFormat="1" ht="20" customHeight="1">
      <c r="A104" s="297"/>
      <c r="B104" s="260" t="s">
        <v>354</v>
      </c>
      <c r="C104" s="238" t="str">
        <f>IFERROR(IF(C101="Serviced",'Cashflow Calculator'!$R$17,'Cashflow Calculator'!$C$17+'Cashflow Calculator'!C21),"")</f>
        <v/>
      </c>
      <c r="D104" s="298"/>
      <c r="E104" s="298"/>
      <c r="F104" s="298"/>
      <c r="G104" s="298"/>
      <c r="H104" s="298"/>
      <c r="I104" s="298"/>
      <c r="J104" s="299"/>
      <c r="K104" s="299"/>
    </row>
    <row r="105" spans="1:12" ht="6" customHeight="1">
      <c r="A105" s="265"/>
      <c r="B105" s="260"/>
      <c r="C105" s="301"/>
      <c r="D105" s="260"/>
      <c r="E105" s="260"/>
      <c r="F105" s="260"/>
      <c r="G105" s="260"/>
      <c r="H105" s="260"/>
      <c r="I105" s="260"/>
      <c r="J105" s="251"/>
      <c r="K105" s="251"/>
    </row>
    <row r="106" spans="1:12" s="300" customFormat="1" ht="20" customHeight="1">
      <c r="A106" s="297"/>
      <c r="B106" s="260" t="s">
        <v>355</v>
      </c>
      <c r="C106" s="302" t="str" cm="1">
        <f t="array" ref="C106:D106">IFERROR(IF(C101="Rolled",'Cashflow Calculator'!C64:D64,'Cashflow Calculator'!R64:S64),"")</f>
        <v/>
      </c>
      <c r="D106" s="298">
        <v>0</v>
      </c>
      <c r="E106" s="303" t="str">
        <f>IF(C106&lt;C107,"","The LTV exceeds the maximum limit")</f>
        <v>The LTV exceeds the maximum limit</v>
      </c>
      <c r="F106" s="298"/>
      <c r="G106" s="298"/>
      <c r="H106" s="298"/>
      <c r="I106" s="298"/>
      <c r="J106" s="299"/>
      <c r="K106" s="299"/>
    </row>
    <row r="107" spans="1:12" hidden="1">
      <c r="A107" s="251"/>
      <c r="B107" s="277" t="s">
        <v>81</v>
      </c>
      <c r="C107" s="304">
        <f>_xlfn.XLOOKUP(C32,Products!B:B,Products!D:D,0,0,1)</f>
        <v>0</v>
      </c>
      <c r="D107" s="260"/>
      <c r="E107" s="251"/>
      <c r="F107" s="260"/>
      <c r="G107" s="260"/>
      <c r="H107" s="260"/>
      <c r="I107" s="260"/>
      <c r="J107" s="251"/>
      <c r="K107" s="251"/>
    </row>
    <row r="108" spans="1:12" hidden="1">
      <c r="A108" s="265"/>
      <c r="B108" s="277" t="s">
        <v>83</v>
      </c>
      <c r="C108" s="277" t="str">
        <f>IF(C101="Serviced",'Cashflow Calculator'!R18,'Cashflow Calculator'!C18)</f>
        <v>NONE</v>
      </c>
      <c r="D108" s="260"/>
      <c r="E108" s="260"/>
      <c r="F108" s="260"/>
      <c r="G108" s="260"/>
      <c r="H108" s="260"/>
      <c r="I108" s="260"/>
      <c r="J108" s="251"/>
      <c r="K108" s="251"/>
    </row>
    <row r="109" spans="1:12" ht="6" customHeight="1">
      <c r="A109" s="251"/>
      <c r="B109" s="257"/>
      <c r="C109" s="305"/>
      <c r="D109" s="251"/>
      <c r="E109" s="251"/>
      <c r="F109" s="251"/>
      <c r="G109" s="251"/>
      <c r="H109" s="251"/>
      <c r="I109" s="251"/>
      <c r="J109" s="251"/>
      <c r="K109" s="251"/>
    </row>
    <row r="110" spans="1:12" s="300" customFormat="1" ht="20" customHeight="1">
      <c r="A110" s="299"/>
      <c r="B110" s="260" t="s">
        <v>356</v>
      </c>
      <c r="C110" s="238" cm="1">
        <f t="array" ref="C110:D110">IFERROR(IF(C101="Rolled",'Cashflow Calculator'!C66:D66,'Cashflow Calculator'!R66:S66), "")</f>
        <v>0</v>
      </c>
      <c r="D110" s="299">
        <v>0</v>
      </c>
      <c r="E110" s="306"/>
      <c r="F110" s="299"/>
      <c r="G110" s="299"/>
      <c r="H110" s="299"/>
      <c r="I110" s="299"/>
      <c r="J110" s="299"/>
      <c r="K110" s="299"/>
    </row>
    <row r="111" spans="1:12" ht="6" customHeight="1">
      <c r="A111" s="251"/>
      <c r="B111" s="260"/>
      <c r="C111" s="307"/>
      <c r="D111" s="251"/>
      <c r="E111" s="251"/>
      <c r="F111" s="251"/>
      <c r="G111" s="251"/>
      <c r="H111" s="251"/>
      <c r="I111" s="251"/>
      <c r="J111" s="251"/>
      <c r="K111" s="251"/>
    </row>
    <row r="112" spans="1:12" s="300" customFormat="1" ht="20" customHeight="1">
      <c r="A112" s="299"/>
      <c r="B112" s="260" t="s">
        <v>357</v>
      </c>
      <c r="C112" s="238" t="str" cm="1">
        <f t="array" ref="C112:D112">IFERROR(IF(C101="Rolled",'Cashflow Calculator'!C67:D67,'Cashflow Calculator'!R67:S67),"")</f>
        <v/>
      </c>
      <c r="D112" s="299">
        <v>0</v>
      </c>
      <c r="E112" s="308"/>
      <c r="F112" s="299"/>
      <c r="G112" s="299"/>
      <c r="H112" s="299"/>
      <c r="I112" s="299"/>
      <c r="J112" s="299"/>
      <c r="K112" s="299"/>
    </row>
    <row r="113" spans="1:11" ht="6" customHeight="1">
      <c r="A113" s="251"/>
      <c r="B113" s="260"/>
      <c r="C113" s="309"/>
      <c r="D113" s="251"/>
      <c r="E113" s="251"/>
      <c r="F113" s="251"/>
      <c r="G113" s="251"/>
      <c r="H113" s="251"/>
      <c r="I113" s="251"/>
      <c r="J113" s="251"/>
      <c r="K113" s="251"/>
    </row>
    <row r="114" spans="1:11" s="300" customFormat="1" ht="20" customHeight="1">
      <c r="A114" s="299"/>
      <c r="B114" s="260" t="s">
        <v>358</v>
      </c>
      <c r="C114" s="302" t="str" cm="1">
        <f t="array" ref="C114:D114">IFERROR(IF(C101="Rolled",'Cashflow Calculator'!C68:D68,'Cashflow Calculator'!R68:S68),"")</f>
        <v/>
      </c>
      <c r="D114" s="299">
        <v>0</v>
      </c>
      <c r="E114" s="306"/>
      <c r="F114" s="299"/>
      <c r="G114" s="299"/>
      <c r="H114" s="299"/>
      <c r="I114" s="299"/>
      <c r="J114" s="299"/>
      <c r="K114" s="299"/>
    </row>
    <row r="115" spans="1:11">
      <c r="A115" s="251"/>
      <c r="B115" s="251"/>
      <c r="C115" s="251"/>
      <c r="D115" s="251"/>
      <c r="E115" s="251"/>
      <c r="F115" s="251"/>
      <c r="G115" s="251"/>
      <c r="H115" s="251"/>
      <c r="I115" s="251"/>
      <c r="J115" s="251"/>
      <c r="K115" s="251"/>
    </row>
    <row r="117" spans="1:11">
      <c r="C117" s="310"/>
    </row>
  </sheetData>
  <sheetProtection algorithmName="SHA-512" hashValue="5ih3ZCp6gQSv8becla9qxbjKdNmQ2+oHBQg5Mgowl4BA3bEfAv9p8WFncLyx5gzgc2w5FwmU6Pj2NhP6GWvUKA==" saltValue="fzzZnMrEKFf21V1o48YkZA==" spinCount="100000" sheet="1" objects="1" scenarios="1" selectLockedCells="1"/>
  <mergeCells count="2">
    <mergeCell ref="C20:E20"/>
    <mergeCell ref="C30:E30"/>
  </mergeCells>
  <dataValidations count="20">
    <dataValidation allowBlank="1" showErrorMessage="1" sqref="C44" xr:uid="{E22F594A-A9DE-40E8-A525-374384A266B3}"/>
    <dataValidation operator="equal" allowBlank="1" showInputMessage="1" showErrorMessage="1" sqref="C100:C108" xr:uid="{48262536-DAF8-4B6A-A730-12982F7BEF96}"/>
    <dataValidation allowBlank="1" showInputMessage="1" showErrorMessage="1" promptTitle="Valuation fee" prompt="Refer to our valuation fee scale at &lt;LINK&gt; for full details." sqref="C66" xr:uid="{A7D6436F-3CAA-4B00-A672-460FDE24EFB6}"/>
    <dataValidation type="list" allowBlank="1" showInputMessage="1" showErrorMessage="1" sqref="E64 E56 E58 E60 E62" xr:uid="{916D19A7-FBBD-4489-BD74-4C37561C16CC}">
      <formula1>"Yes, No"</formula1>
    </dataValidation>
    <dataValidation type="whole" allowBlank="1" showInputMessage="1" showErrorMessage="1" error="The loan term must be between 12 months and 18 months" promptTitle="Loan term" prompt="Enter the loan term required:_x000a__x000a_Minimum term - 12 months_x000a_Maximum term - 18 months" sqref="C47" xr:uid="{862684AF-BF06-4B5C-8BB4-44D7A983F397}">
      <formula1>12</formula1>
      <formula2>18</formula2>
    </dataValidation>
    <dataValidation allowBlank="1" showInputMessage="1" showErrorMessage="1" promptTitle="Net loan amount" prompt="Enter the net loan amount required. If this is required in stages, please confirm the amount needed for each stage release." sqref="C43" xr:uid="{E904D009-1006-44EF-BB52-BFAB41F13B0C}"/>
    <dataValidation allowBlank="1" showInputMessage="1" showErrorMessage="1" promptTitle="Other exit strategy details" prompt="Please confirm what your planned exit strategy is" sqref="C30:E30" xr:uid="{56A0DDAC-7D0B-4EBE-81A7-FE5A19D6903B}"/>
    <dataValidation allowBlank="1" showInputMessage="1" showErrorMessage="1" promptTitle="Case owner" prompt="Enter the details of the case manager" sqref="C26" xr:uid="{4880F183-8222-4C15-AE68-BFE0241E0E68}"/>
    <dataValidation allowBlank="1" showInputMessage="1" showErrorMessage="1" promptTitle="Application reference" prompt="Enter an application reference" sqref="C24" xr:uid="{0A80F00F-2046-4245-8ED8-890732EB069D}"/>
    <dataValidation type="list" allowBlank="1" showInputMessage="1" showErrorMessage="1" sqref="C28" xr:uid="{DCEB5D87-5522-465A-89BE-64531399EB5C}">
      <formula1>"Please select, Sale of security, Sale of another property, Refinance, Maturity of investments, Other"</formula1>
    </dataValidation>
    <dataValidation type="list" allowBlank="1" showInputMessage="1" showErrorMessage="1" sqref="C101" xr:uid="{D02E2BEA-648F-4590-9680-8D7FAD20D754}">
      <formula1>"Rolled, Serviced"</formula1>
    </dataValidation>
    <dataValidation type="list" allowBlank="1" showInputMessage="1" showErrorMessage="1" promptTitle="Valuation" prompt="Please select your chosen valuation route" sqref="C40:C41" xr:uid="{E422FA34-7CAA-4D8F-A82E-5A01ABDD791E}">
      <formula1>"Please select, Connells, Allied, AVM"</formula1>
    </dataValidation>
    <dataValidation type="list" allowBlank="1" showInputMessage="1" showErrorMessage="1" sqref="C38" xr:uid="{1E27D379-F5F3-4C8B-B091-2F612E5A2329}">
      <formula1>"Please select, Standard bridging, Light refurbishment, Heavy refurbishment"</formula1>
    </dataValidation>
    <dataValidation type="list" allowBlank="1" showInputMessage="1" showErrorMessage="1" sqref="C36" xr:uid="{4C083C3E-3040-40BF-83D2-C938EB846BF0}">
      <formula1>"Please select, Purchase, Remortgage"</formula1>
    </dataValidation>
    <dataValidation type="list" allowBlank="1" showInputMessage="1" showErrorMessage="1" sqref="C29" xr:uid="{74049B13-D6BB-4B82-9D5C-CE3FA9230379}">
      <formula1>"Sale of security, Sale of another property, Refinance, Maturity of investments, Other"</formula1>
    </dataValidation>
    <dataValidation type="list" allowBlank="1" showInputMessage="1" showErrorMessage="1" sqref="I76:I77 I80 I82 I84 I86 I88 I90 I92 I94 I96" xr:uid="{A5D3DB15-3A99-4FC6-A680-E26A49428026}">
      <formula1>"Yes,No"</formula1>
    </dataValidation>
    <dataValidation type="list" allowBlank="1" showInputMessage="1" showErrorMessage="1" promptTitle="Please select" sqref="C6" xr:uid="{C108FE52-B215-4413-B384-D5D32FA11023}">
      <formula1>"Please select, SPF, Capital B, Positive Lending, Crystal Mortgages, Complete FS"</formula1>
    </dataValidation>
    <dataValidation type="whole" operator="equal" allowBlank="1" showInputMessage="1" showErrorMessage="1" sqref="C62:C63" xr:uid="{19F5FE41-0588-4DBE-AE9C-C251A440B465}">
      <formula1>25</formula1>
    </dataValidation>
    <dataValidation type="whole" operator="equal" allowBlank="1" showInputMessage="1" showErrorMessage="1" sqref="C64:C65" xr:uid="{0199E58C-79EA-4AD6-B59D-053FEB1C1279}">
      <formula1>150</formula1>
    </dataValidation>
    <dataValidation type="whole" operator="equal" allowBlank="1" showInputMessage="1" showErrorMessage="1" sqref="C70:C71" xr:uid="{DAFFF23B-7CDF-4415-8ED8-A84F3B41B740}">
      <formula1>105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9B851F-7824-4DD1-B6F1-7245CD76F4F9}">
          <x14:formula1>
            <xm:f>Products!$B$3:$B$20</xm:f>
          </x14:formula1>
          <xm:sqref>C32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5221-9D77-4424-AD1B-E3921B8F2282}">
  <dimension ref="B1:D70"/>
  <sheetViews>
    <sheetView showGridLines="0" showWhiteSpace="0" zoomScaleNormal="100" workbookViewId="0">
      <selection activeCell="C4" sqref="C4"/>
    </sheetView>
  </sheetViews>
  <sheetFormatPr baseColWidth="10" defaultColWidth="8.83203125" defaultRowHeight="15"/>
  <cols>
    <col min="1" max="1" width="2.5" customWidth="1"/>
    <col min="2" max="2" width="67.83203125" customWidth="1"/>
    <col min="3" max="3" width="31.5" style="144" customWidth="1"/>
    <col min="4" max="4" width="3.5" customWidth="1"/>
  </cols>
  <sheetData>
    <row r="1" spans="2:3" ht="10" customHeight="1"/>
    <row r="2" spans="2:3" ht="61.5" customHeight="1">
      <c r="B2" s="145" t="s">
        <v>259</v>
      </c>
    </row>
    <row r="3" spans="2:3" ht="14.5" customHeight="1">
      <c r="B3" s="145"/>
    </row>
    <row r="4" spans="2:3">
      <c r="B4" s="146" t="s">
        <v>260</v>
      </c>
      <c r="C4" s="324"/>
    </row>
    <row r="5" spans="2:3" ht="6" customHeight="1">
      <c r="B5" s="146"/>
      <c r="C5" s="312"/>
    </row>
    <row r="6" spans="2:3">
      <c r="B6" s="146" t="s">
        <v>261</v>
      </c>
      <c r="C6" s="324"/>
    </row>
    <row r="7" spans="2:3" ht="6" customHeight="1">
      <c r="B7" s="146"/>
      <c r="C7" s="312"/>
    </row>
    <row r="8" spans="2:3">
      <c r="B8" s="146" t="s">
        <v>35</v>
      </c>
      <c r="C8" s="311" t="str">
        <f>Calculator!C32</f>
        <v>Please select</v>
      </c>
    </row>
    <row r="9" spans="2:3" ht="6" customHeight="1">
      <c r="B9" s="146"/>
      <c r="C9" s="312"/>
    </row>
    <row r="10" spans="2:3">
      <c r="B10" s="146" t="s">
        <v>319</v>
      </c>
      <c r="C10" s="311" t="str">
        <f>Calculator!C36</f>
        <v>Please select</v>
      </c>
    </row>
    <row r="11" spans="2:3" ht="6" customHeight="1">
      <c r="B11" s="146"/>
      <c r="C11" s="312"/>
    </row>
    <row r="12" spans="2:3">
      <c r="B12" s="146" t="s">
        <v>263</v>
      </c>
      <c r="C12" s="313">
        <f>Calculator!J98</f>
        <v>0</v>
      </c>
    </row>
    <row r="13" spans="2:3" ht="6" customHeight="1">
      <c r="B13" s="146"/>
      <c r="C13" s="314"/>
    </row>
    <row r="14" spans="2:3">
      <c r="B14" s="146" t="s">
        <v>264</v>
      </c>
      <c r="C14" s="311" t="str">
        <f>Calculator!C101</f>
        <v>Rolled</v>
      </c>
    </row>
    <row r="15" spans="2:3" ht="6" customHeight="1">
      <c r="B15" s="146"/>
      <c r="C15" s="312"/>
    </row>
    <row r="16" spans="2:3">
      <c r="B16" s="146" t="s">
        <v>265</v>
      </c>
      <c r="C16" s="315">
        <f>'Cashflow Calculator'!C16</f>
        <v>0</v>
      </c>
    </row>
    <row r="17" spans="2:3" ht="6" customHeight="1">
      <c r="B17" s="146"/>
      <c r="C17" s="314"/>
    </row>
    <row r="18" spans="2:3">
      <c r="B18" s="146" t="s">
        <v>266</v>
      </c>
      <c r="C18" s="316">
        <f>Calculator!C102</f>
        <v>0</v>
      </c>
    </row>
    <row r="19" spans="2:3" ht="6" customHeight="1">
      <c r="B19" s="146"/>
      <c r="C19" s="314"/>
    </row>
    <row r="20" spans="2:3">
      <c r="B20" s="146" t="s">
        <v>267</v>
      </c>
      <c r="C20" s="313" t="str">
        <f>Calculator!C104</f>
        <v/>
      </c>
    </row>
    <row r="21" spans="2:3" ht="6" customHeight="1">
      <c r="B21" s="146"/>
      <c r="C21" s="314"/>
    </row>
    <row r="22" spans="2:3">
      <c r="B22" s="146" t="s">
        <v>268</v>
      </c>
      <c r="C22" s="317" t="str">
        <f>Calculator!C106</f>
        <v/>
      </c>
    </row>
    <row r="23" spans="2:3" ht="6" customHeight="1">
      <c r="B23" s="146"/>
      <c r="C23" s="318"/>
    </row>
    <row r="24" spans="2:3">
      <c r="B24" s="146" t="s">
        <v>269</v>
      </c>
      <c r="C24" s="311">
        <f>Calculator!C47</f>
        <v>0</v>
      </c>
    </row>
    <row r="25" spans="2:3" ht="6" customHeight="1">
      <c r="B25" s="146"/>
      <c r="C25" s="312"/>
    </row>
    <row r="26" spans="2:3">
      <c r="B26" s="146" t="s">
        <v>270</v>
      </c>
      <c r="C26" s="311" t="str">
        <f>Calculator!C108</f>
        <v>NONE</v>
      </c>
    </row>
    <row r="27" spans="2:3" ht="6" customHeight="1">
      <c r="B27" s="146"/>
      <c r="C27" s="312"/>
    </row>
    <row r="28" spans="2:3">
      <c r="B28" s="146" t="s">
        <v>271</v>
      </c>
      <c r="C28" s="319">
        <f>Calculator!C100/12</f>
        <v>0</v>
      </c>
    </row>
    <row r="29" spans="2:3" ht="6" customHeight="1">
      <c r="B29" s="146"/>
      <c r="C29" s="320"/>
    </row>
    <row r="30" spans="2:3">
      <c r="B30" s="146" t="s">
        <v>272</v>
      </c>
      <c r="C30" s="313" t="str">
        <f>Calculator!C60</f>
        <v/>
      </c>
    </row>
    <row r="31" spans="2:3" ht="6" customHeight="1">
      <c r="B31" s="146"/>
      <c r="C31" s="314"/>
    </row>
    <row r="32" spans="2:3">
      <c r="B32" s="146" t="s">
        <v>273</v>
      </c>
      <c r="C32" s="311" t="s">
        <v>274</v>
      </c>
    </row>
    <row r="33" spans="2:3" s="158" customFormat="1" ht="32.5" customHeight="1">
      <c r="B33" s="329" t="s">
        <v>275</v>
      </c>
      <c r="C33" s="329"/>
    </row>
    <row r="34" spans="2:3" ht="10.5" customHeight="1">
      <c r="B34" s="146"/>
      <c r="C34" s="147"/>
    </row>
    <row r="35" spans="2:3">
      <c r="B35" s="151" t="s">
        <v>276</v>
      </c>
      <c r="C35" s="147"/>
    </row>
    <row r="36" spans="2:3">
      <c r="B36" s="151" t="s">
        <v>277</v>
      </c>
      <c r="C36" s="147"/>
    </row>
    <row r="37" spans="2:3">
      <c r="B37" s="146" t="s">
        <v>278</v>
      </c>
      <c r="C37" s="315">
        <f>Calculator!C66</f>
        <v>0</v>
      </c>
    </row>
    <row r="38" spans="2:3">
      <c r="B38" s="146"/>
      <c r="C38" s="312"/>
    </row>
    <row r="39" spans="2:3">
      <c r="B39" s="151" t="s">
        <v>279</v>
      </c>
      <c r="C39" s="312"/>
    </row>
    <row r="40" spans="2:3">
      <c r="B40" s="146" t="s">
        <v>280</v>
      </c>
      <c r="C40" s="313">
        <v>150</v>
      </c>
    </row>
    <row r="41" spans="2:3" ht="6" customHeight="1">
      <c r="B41" s="146"/>
      <c r="C41" s="314"/>
    </row>
    <row r="42" spans="2:3">
      <c r="B42" s="146" t="s">
        <v>281</v>
      </c>
      <c r="C42" s="313">
        <v>25</v>
      </c>
    </row>
    <row r="43" spans="2:3">
      <c r="B43" s="146"/>
      <c r="C43" s="312"/>
    </row>
    <row r="44" spans="2:3">
      <c r="B44" s="151" t="s">
        <v>282</v>
      </c>
      <c r="C44" s="312"/>
    </row>
    <row r="45" spans="2:3">
      <c r="B45" s="146" t="s">
        <v>283</v>
      </c>
      <c r="C45" s="313">
        <v>105</v>
      </c>
    </row>
    <row r="46" spans="2:3">
      <c r="B46" s="146"/>
      <c r="C46" s="312"/>
    </row>
    <row r="47" spans="2:3">
      <c r="B47" s="151" t="s">
        <v>284</v>
      </c>
      <c r="C47" s="312"/>
    </row>
    <row r="48" spans="2:3">
      <c r="B48" s="146" t="s">
        <v>285</v>
      </c>
      <c r="C48" s="313">
        <f>Calculator!C56</f>
        <v>0</v>
      </c>
    </row>
    <row r="49" spans="2:4" ht="6" customHeight="1">
      <c r="B49" s="146"/>
      <c r="C49" s="314"/>
    </row>
    <row r="50" spans="2:4">
      <c r="B50" s="146" t="s">
        <v>377</v>
      </c>
      <c r="C50" s="325"/>
    </row>
    <row r="51" spans="2:4" ht="6" customHeight="1">
      <c r="B51" s="146"/>
      <c r="C51" s="314"/>
    </row>
    <row r="52" spans="2:4">
      <c r="B52" s="146" t="s">
        <v>288</v>
      </c>
      <c r="C52" s="311">
        <f>Calculator!E56</f>
        <v>0</v>
      </c>
    </row>
    <row r="53" spans="2:4" ht="6" customHeight="1">
      <c r="B53" s="146"/>
      <c r="C53" s="312"/>
    </row>
    <row r="54" spans="2:4">
      <c r="B54" s="146" t="s">
        <v>289</v>
      </c>
      <c r="C54" s="313">
        <f>Calculator!C58</f>
        <v>0</v>
      </c>
    </row>
    <row r="55" spans="2:4" ht="6" customHeight="1">
      <c r="B55" s="146"/>
      <c r="C55" s="321"/>
    </row>
    <row r="56" spans="2:4">
      <c r="B56" s="146" t="s">
        <v>378</v>
      </c>
      <c r="C56" s="325"/>
    </row>
    <row r="57" spans="2:4" ht="6" customHeight="1">
      <c r="B57" s="146"/>
      <c r="C57" s="314"/>
    </row>
    <row r="58" spans="2:4">
      <c r="B58" s="146" t="s">
        <v>288</v>
      </c>
      <c r="C58" s="311">
        <f>Calculator!E58</f>
        <v>0</v>
      </c>
    </row>
    <row r="59" spans="2:4">
      <c r="B59" s="146"/>
      <c r="C59" s="147"/>
    </row>
    <row r="60" spans="2:4">
      <c r="B60" s="151" t="s">
        <v>282</v>
      </c>
      <c r="C60" s="147"/>
    </row>
    <row r="61" spans="2:4">
      <c r="B61" s="146" t="s">
        <v>291</v>
      </c>
      <c r="C61" s="313">
        <f>C16*C65</f>
        <v>0</v>
      </c>
      <c r="D61" s="127"/>
    </row>
    <row r="62" spans="2:4" ht="6" customHeight="1">
      <c r="B62" s="146"/>
      <c r="C62" s="314"/>
      <c r="D62" s="127"/>
    </row>
    <row r="63" spans="2:4">
      <c r="B63" s="146" t="s">
        <v>292</v>
      </c>
      <c r="C63" s="312"/>
      <c r="D63" s="127"/>
    </row>
    <row r="64" spans="2:4" ht="6" customHeight="1">
      <c r="B64" s="146"/>
      <c r="C64" s="312"/>
      <c r="D64" s="127"/>
    </row>
    <row r="65" spans="2:4">
      <c r="B65" s="146" t="s">
        <v>293</v>
      </c>
      <c r="C65" s="322">
        <v>0.02</v>
      </c>
      <c r="D65" s="127"/>
    </row>
    <row r="66" spans="2:4" ht="6" customHeight="1">
      <c r="B66" s="146"/>
      <c r="C66" s="323"/>
      <c r="D66" s="127"/>
    </row>
    <row r="67" spans="2:4">
      <c r="B67" s="146" t="s">
        <v>294</v>
      </c>
      <c r="C67" s="315">
        <f>Calculator!C68</f>
        <v>0</v>
      </c>
    </row>
    <row r="68" spans="2:4" s="158" customFormat="1" ht="48" customHeight="1">
      <c r="B68" s="330" t="s">
        <v>295</v>
      </c>
      <c r="C68" s="330"/>
    </row>
    <row r="69" spans="2:4" ht="26.5" customHeight="1">
      <c r="B69" s="331" t="s">
        <v>296</v>
      </c>
      <c r="C69" s="331"/>
    </row>
    <row r="70" spans="2:4">
      <c r="B70" s="146"/>
      <c r="C70" s="147"/>
    </row>
  </sheetData>
  <sheetProtection algorithmName="SHA-512" hashValue="LuVedDE/SVajXPLDny5LYpIb3vNFfJ3EUbtk85t6UrMggZx6yxjeF/6g3NFX2ZU/cOyKM5FOxbL6AnxfrkKXgQ==" saltValue="9QgmPGy0PLHdVFMJY+Ae9Q==" spinCount="100000" sheet="1" objects="1" scenarios="1" selectLockedCells="1"/>
  <mergeCells count="3">
    <mergeCell ref="B33:C33"/>
    <mergeCell ref="B68:C68"/>
    <mergeCell ref="B69:C69"/>
  </mergeCells>
  <dataValidations count="2">
    <dataValidation type="list" allowBlank="1" showInputMessage="1" showErrorMessage="1" sqref="C41" xr:uid="{437F7C1C-6DA2-420F-A046-908DEC0B3375}">
      <formula1>"150"</formula1>
    </dataValidation>
    <dataValidation type="list" allowBlank="1" showInputMessage="1" showErrorMessage="1" sqref="C50 C56" xr:uid="{9B0412FB-35F4-4DAE-9D9B-2C3EDF88AC68}">
      <formula1>"Application,Offer,Completion,Not applicable"</formula1>
    </dataValidation>
  </dataValidations>
  <pageMargins left="0.7" right="0.7" top="0.75" bottom="0.75" header="0.3" footer="0.3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1D9F3-31F2-4A29-82B8-B8D088495A82}">
  <dimension ref="A1:L31"/>
  <sheetViews>
    <sheetView showGridLines="0" topLeftCell="A5" zoomScale="80" zoomScaleNormal="80" workbookViewId="0">
      <selection activeCell="C32" sqref="C32"/>
    </sheetView>
  </sheetViews>
  <sheetFormatPr baseColWidth="10" defaultColWidth="8.83203125" defaultRowHeight="15"/>
  <cols>
    <col min="1" max="1" width="46.83203125" bestFit="1" customWidth="1"/>
    <col min="2" max="2" width="26.6640625" bestFit="1" customWidth="1"/>
    <col min="3" max="4" width="25.6640625" bestFit="1" customWidth="1"/>
    <col min="5" max="5" width="20.6640625" bestFit="1" customWidth="1"/>
    <col min="6" max="6" width="16.5" bestFit="1" customWidth="1"/>
    <col min="7" max="7" width="20.33203125" bestFit="1" customWidth="1"/>
    <col min="8" max="8" width="5.6640625" bestFit="1" customWidth="1"/>
    <col min="9" max="9" width="12.5" bestFit="1" customWidth="1"/>
    <col min="10" max="10" width="14.6640625" bestFit="1" customWidth="1"/>
    <col min="11" max="11" width="10.1640625" bestFit="1" customWidth="1"/>
  </cols>
  <sheetData>
    <row r="1" spans="1:12" s="51" customFormat="1"/>
    <row r="2" spans="1:12" s="51" customFormat="1"/>
    <row r="3" spans="1:12" s="51" customFormat="1"/>
    <row r="4" spans="1:12" s="51" customFormat="1">
      <c r="A4" s="72" t="s">
        <v>204</v>
      </c>
    </row>
    <row r="5" spans="1:12" s="51" customFormat="1"/>
    <row r="6" spans="1:12" s="51" customFormat="1">
      <c r="B6" s="52" t="s">
        <v>1</v>
      </c>
      <c r="C6"/>
    </row>
    <row r="7" spans="1:12" s="51" customFormat="1">
      <c r="B7" s="53" t="s">
        <v>2</v>
      </c>
      <c r="C7"/>
    </row>
    <row r="8" spans="1:12" s="51" customFormat="1"/>
    <row r="9" spans="1:12" s="51" customFormat="1">
      <c r="A9" s="54" t="s">
        <v>4</v>
      </c>
      <c r="B9" s="67" t="str">
        <f>'HIDDEN Front Sheet'!C9</f>
        <v>BRI438954</v>
      </c>
      <c r="D9" s="55"/>
      <c r="G9"/>
      <c r="H9"/>
      <c r="I9"/>
      <c r="J9"/>
      <c r="K9"/>
      <c r="L9"/>
    </row>
    <row r="10" spans="1:12" s="51" customFormat="1">
      <c r="A10" s="54" t="s">
        <v>205</v>
      </c>
      <c r="B10" s="67" t="str">
        <f>'HIDDEN AIP Terms'!C6</f>
        <v>Mr Chris  Borwick</v>
      </c>
      <c r="D10" s="55"/>
      <c r="G10"/>
      <c r="H10"/>
      <c r="I10"/>
      <c r="J10"/>
      <c r="K10"/>
      <c r="L10"/>
    </row>
    <row r="11" spans="1:12" s="51" customFormat="1">
      <c r="A11" s="54" t="s">
        <v>206</v>
      </c>
      <c r="B11" s="140"/>
      <c r="D11" s="55"/>
      <c r="G11"/>
      <c r="H11"/>
      <c r="I11"/>
      <c r="J11"/>
      <c r="K11"/>
      <c r="L11"/>
    </row>
    <row r="12" spans="1:12" s="51" customFormat="1">
      <c r="A12" s="54" t="s">
        <v>207</v>
      </c>
      <c r="B12" s="139">
        <f>IF(B11="",Calculator!C47,_xlfn.XLOOKUP(B11,'Cashflow Calculator'!$B$39:$B$56,'Cashflow Calculator'!$A$39:$A$56,0,0,1))</f>
        <v>0</v>
      </c>
      <c r="D12" s="55"/>
      <c r="G12"/>
      <c r="H12"/>
      <c r="I12"/>
      <c r="J12"/>
      <c r="K12"/>
      <c r="L12"/>
    </row>
    <row r="13" spans="1:12" s="51" customFormat="1">
      <c r="A13" s="54" t="s">
        <v>72</v>
      </c>
      <c r="B13" s="67" t="str">
        <f>Calculator!C101</f>
        <v>Rolled</v>
      </c>
      <c r="D13" s="55"/>
      <c r="G13"/>
      <c r="H13"/>
      <c r="I13"/>
      <c r="J13"/>
      <c r="K13"/>
      <c r="L13"/>
    </row>
    <row r="14" spans="1:12" s="51" customFormat="1">
      <c r="A14" s="70"/>
      <c r="C14" s="57"/>
      <c r="G14"/>
      <c r="H14"/>
      <c r="I14"/>
      <c r="J14"/>
      <c r="K14"/>
      <c r="L14"/>
    </row>
    <row r="19" spans="1:6">
      <c r="A19" s="54" t="s">
        <v>208</v>
      </c>
      <c r="B19" s="54" t="s">
        <v>209</v>
      </c>
      <c r="C19" s="54" t="s">
        <v>210</v>
      </c>
      <c r="D19" s="54" t="s">
        <v>211</v>
      </c>
      <c r="E19" s="54" t="s">
        <v>206</v>
      </c>
      <c r="F19" s="54" t="s">
        <v>212</v>
      </c>
    </row>
    <row r="20" spans="1:6">
      <c r="A20" s="54" t="s">
        <v>213</v>
      </c>
      <c r="B20" s="137">
        <f>Calculator!C45</f>
        <v>0</v>
      </c>
      <c r="C20" s="138">
        <f>Calculator!C43</f>
        <v>0</v>
      </c>
      <c r="D20" s="63">
        <f>Calculator!$C$100</f>
        <v>0</v>
      </c>
      <c r="E20" s="137" t="str">
        <f>IF($B$11="",Calculator!$C$48,'Calculator Redemption'!$B$11)</f>
        <v/>
      </c>
      <c r="F20" s="138" t="e">
        <f>IF($B$13="Rolled",MAX('Cashflow Calculator'!$D$39:$D$62),_xlfn.XLOOKUP($B$12,'Cashflow Calculator'!$A$39:$A$62,'Cashflow Calculator'!$T$39:$T$62,0,0,1))</f>
        <v>#VALUE!</v>
      </c>
    </row>
    <row r="21" spans="1:6">
      <c r="A21" s="54" t="s">
        <v>214</v>
      </c>
      <c r="B21" s="137">
        <f>Calculator!E45</f>
        <v>0</v>
      </c>
      <c r="C21" s="138">
        <f>Calculator!E43</f>
        <v>0</v>
      </c>
      <c r="D21" s="63">
        <f>Calculator!$C$100</f>
        <v>0</v>
      </c>
      <c r="E21" s="137" t="str">
        <f>IF($B$11="",Calculator!$C$48,'Calculator Redemption'!$B$11)</f>
        <v/>
      </c>
      <c r="F21" s="138">
        <f>IF($B$13="Rolled",MAX('Cashflow Calculator'!$H$39:$H$62),_xlfn.XLOOKUP($B$12,'Cashflow Calculator'!$E$39:$E$62,'Cashflow Calculator'!$W$39:$W$62,0,0,1))</f>
        <v>0</v>
      </c>
    </row>
    <row r="22" spans="1:6">
      <c r="A22" s="54" t="s">
        <v>42</v>
      </c>
      <c r="B22" s="137">
        <f>Calculator!G45</f>
        <v>0</v>
      </c>
      <c r="C22" s="138">
        <f>Calculator!G43</f>
        <v>0</v>
      </c>
      <c r="D22" s="63">
        <f>Calculator!$C$100</f>
        <v>0</v>
      </c>
      <c r="E22" s="137" t="str">
        <f>IF($B$11="",Calculator!$C$48,'Calculator Redemption'!$B$11)</f>
        <v/>
      </c>
      <c r="F22" s="138">
        <f>IF($B$13="Rolled",MAX('Cashflow Calculator'!$L$39:$L$62),_xlfn.XLOOKUP($B$12,'Cashflow Calculator'!$I$39:$I$62,'Cashflow Calculator'!$Z$39:$Z$62,0,0,1))</f>
        <v>0</v>
      </c>
    </row>
    <row r="23" spans="1:6">
      <c r="A23" s="54" t="s">
        <v>42</v>
      </c>
      <c r="B23" s="137">
        <f>Calculator!I45</f>
        <v>0</v>
      </c>
      <c r="C23" s="138">
        <f>Calculator!I43</f>
        <v>0</v>
      </c>
      <c r="D23" s="63">
        <f>Calculator!$C$100</f>
        <v>0</v>
      </c>
      <c r="E23" s="137" t="str">
        <f>IF($B$11="",Calculator!$C$48,'Calculator Redemption'!$B$11)</f>
        <v/>
      </c>
      <c r="F23" s="138">
        <f>IF($B$13="Rolled",MAX('Cashflow Calculator'!$P$39:$P$62),_xlfn.XLOOKUP($B$12,'Cashflow Calculator'!$M$39:$M$62,'Cashflow Calculator'!$AC$39:$AC$62,0,0,1))</f>
        <v>0</v>
      </c>
    </row>
    <row r="26" spans="1:6">
      <c r="A26" s="54" t="s">
        <v>212</v>
      </c>
      <c r="B26" s="138" t="e">
        <f>SUM(F20:F23)</f>
        <v>#VALUE!</v>
      </c>
      <c r="C26" t="e">
        <f>$B$26=IF(Calculator!C101="Rolled",'Cashflow Calculator'!$C$19,'Cashflow Calculator'!R19)</f>
        <v>#VALUE!</v>
      </c>
    </row>
    <row r="28" spans="1:6">
      <c r="A28" s="126" t="s">
        <v>215</v>
      </c>
      <c r="B28" s="138">
        <f>IF($B$13="Rolled",(_xlfn.XLOOKUP($B$12-1,'Cashflow Calculator'!$A$39:$A$56,'Cashflow Calculator'!$D$39:$D$56,0,0,1)+_xlfn.XLOOKUP($B$12-1,'Cashflow Calculator'!$E$39:$E$56,'Cashflow Calculator'!$H$39:$H$56,0,0,1)+_xlfn.XLOOKUP($B$12-1,'Cashflow Calculator'!$I$39:$I$56,'Cashflow Calculator'!$L$39:$L$56,0,0,1)+_xlfn.XLOOKUP($B$12-1,'Cashflow Calculator'!$M$39:$M$56,'Cashflow Calculator'!$P$39:$P$56,0,0,1))*'Cashflow Calculator'!$C$9/365,(_xlfn.XLOOKUP($B$12-1,'Cashflow Calculator'!$A$39:$A$56,'Cashflow Calculator'!$T$39:$T$56,0,0,1)+_xlfn.XLOOKUP($B$12-1,'Cashflow Calculator'!$E$39:$E$56,'Cashflow Calculator'!$W$39:$W$56,0,0,1)+_xlfn.XLOOKUP($B$12-1,'Cashflow Calculator'!$I$39:$I$56,'Cashflow Calculator'!$Z$39:$Z$56,0,0,1)+_xlfn.XLOOKUP($B$12-1,'Cashflow Calculator'!$M$39:$M$56,'Cashflow Calculator'!$AC$39:$AC$56,0,0,1))*'Cashflow Calculator'!$C$9/365)</f>
        <v>0</v>
      </c>
      <c r="C28" s="125"/>
    </row>
    <row r="29" spans="1:6">
      <c r="A29" s="126" t="s">
        <v>216</v>
      </c>
      <c r="B29" s="138" t="e">
        <f>$B$26+(B28*1)</f>
        <v>#VALUE!</v>
      </c>
    </row>
    <row r="30" spans="1:6">
      <c r="A30" s="126" t="s">
        <v>217</v>
      </c>
      <c r="B30" s="138" t="e">
        <f>$B$26+(B28*2)</f>
        <v>#VALUE!</v>
      </c>
    </row>
    <row r="31" spans="1:6">
      <c r="A31" s="126" t="s">
        <v>218</v>
      </c>
      <c r="B31" s="138" t="e">
        <f>$B$26+(B28*3)</f>
        <v>#VALUE!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AE3A-4DEB-493A-A014-38761F8CD08D}">
  <dimension ref="A1:AJ78"/>
  <sheetViews>
    <sheetView showGridLines="0" topLeftCell="A2" zoomScale="90" zoomScaleNormal="90" workbookViewId="0">
      <selection activeCell="C7" sqref="C7"/>
    </sheetView>
  </sheetViews>
  <sheetFormatPr baseColWidth="10" defaultColWidth="8.83203125" defaultRowHeight="15"/>
  <cols>
    <col min="1" max="1" width="3.1640625" customWidth="1"/>
    <col min="2" max="2" width="25.6640625" customWidth="1"/>
    <col min="3" max="3" width="23.33203125" bestFit="1" customWidth="1"/>
    <col min="4" max="4" width="15" bestFit="1" customWidth="1"/>
    <col min="5" max="5" width="3.33203125" bestFit="1" customWidth="1"/>
    <col min="6" max="6" width="14" customWidth="1"/>
    <col min="7" max="7" width="12" bestFit="1" customWidth="1"/>
    <col min="8" max="8" width="12.6640625" bestFit="1" customWidth="1"/>
    <col min="9" max="9" width="3.1640625" bestFit="1" customWidth="1"/>
    <col min="10" max="10" width="14.6640625" customWidth="1"/>
    <col min="11" max="11" width="12" bestFit="1" customWidth="1"/>
    <col min="12" max="12" width="12.6640625" bestFit="1" customWidth="1"/>
    <col min="13" max="13" width="3.33203125" bestFit="1" customWidth="1"/>
    <col min="14" max="15" width="11.5" customWidth="1"/>
    <col min="16" max="16" width="12.6640625" bestFit="1" customWidth="1"/>
    <col min="17" max="17" width="25.6640625" bestFit="1" customWidth="1"/>
    <col min="18" max="18" width="15.1640625" customWidth="1"/>
    <col min="19" max="19" width="10.5" bestFit="1" customWidth="1"/>
    <col min="20" max="20" width="16.5" customWidth="1"/>
    <col min="21" max="21" width="11.83203125" bestFit="1" customWidth="1"/>
    <col min="22" max="22" width="12" bestFit="1" customWidth="1"/>
    <col min="23" max="23" width="11.5" bestFit="1" customWidth="1"/>
    <col min="24" max="24" width="11.83203125" bestFit="1" customWidth="1"/>
    <col min="25" max="25" width="11.33203125" bestFit="1" customWidth="1"/>
    <col min="26" max="26" width="11.5" bestFit="1" customWidth="1"/>
    <col min="27" max="27" width="12" bestFit="1" customWidth="1"/>
    <col min="28" max="28" width="8.5" bestFit="1" customWidth="1"/>
    <col min="29" max="29" width="10.1640625" bestFit="1" customWidth="1"/>
    <col min="30" max="30" width="13.5" bestFit="1" customWidth="1"/>
    <col min="31" max="31" width="3.1640625" bestFit="1" customWidth="1"/>
    <col min="32" max="32" width="4.1640625" bestFit="1" customWidth="1"/>
    <col min="33" max="33" width="11.83203125" bestFit="1" customWidth="1"/>
    <col min="34" max="34" width="22.5" customWidth="1"/>
    <col min="35" max="35" width="15.6640625" bestFit="1" customWidth="1"/>
    <col min="36" max="36" width="12.5" bestFit="1" customWidth="1"/>
    <col min="37" max="37" width="16.1640625" customWidth="1"/>
    <col min="38" max="38" width="13.6640625" customWidth="1"/>
    <col min="39" max="39" width="13.1640625" bestFit="1" customWidth="1"/>
    <col min="40" max="40" width="13.83203125" customWidth="1"/>
    <col min="41" max="42" width="13.1640625" bestFit="1" customWidth="1"/>
    <col min="43" max="43" width="13.6640625" customWidth="1"/>
  </cols>
  <sheetData>
    <row r="1" spans="2:18">
      <c r="B1" s="3"/>
    </row>
    <row r="2" spans="2:18" ht="16" thickBot="1">
      <c r="B2" s="74"/>
      <c r="K2" s="4"/>
    </row>
    <row r="3" spans="2:18" ht="16" thickBot="1">
      <c r="B3" s="5" t="s">
        <v>219</v>
      </c>
      <c r="C3" s="5" t="s">
        <v>220</v>
      </c>
      <c r="H3" s="4"/>
      <c r="I3" s="4"/>
      <c r="J3" s="4"/>
      <c r="Q3" s="5" t="s">
        <v>219</v>
      </c>
      <c r="R3" s="5" t="s">
        <v>221</v>
      </c>
    </row>
    <row r="4" spans="2:18">
      <c r="B4" s="1" t="s">
        <v>48</v>
      </c>
      <c r="C4" s="6">
        <f>Calculator!$C$45</f>
        <v>0</v>
      </c>
      <c r="H4" s="4"/>
      <c r="I4" s="4"/>
      <c r="J4" s="4"/>
      <c r="Q4" s="1" t="s">
        <v>48</v>
      </c>
      <c r="R4" s="6">
        <f>'HIDDEN Front Sheet'!$C$21</f>
        <v>46174</v>
      </c>
    </row>
    <row r="5" spans="2:18">
      <c r="B5" s="1" t="s">
        <v>222</v>
      </c>
      <c r="C5" s="7">
        <f>Calculator!$C$47</f>
        <v>0</v>
      </c>
      <c r="H5" s="4"/>
      <c r="I5" s="4"/>
      <c r="J5" s="4"/>
      <c r="Q5" s="1" t="s">
        <v>222</v>
      </c>
      <c r="R5" s="7">
        <f>'HIDDEN Front Sheet'!$C$24</f>
        <v>12</v>
      </c>
    </row>
    <row r="6" spans="2:18">
      <c r="B6" s="1" t="s">
        <v>223</v>
      </c>
      <c r="C6" s="6">
        <f>EDATE(C4,C5)</f>
        <v>0</v>
      </c>
      <c r="H6" s="4"/>
      <c r="I6" s="4"/>
      <c r="J6" s="4"/>
      <c r="Q6" s="1" t="s">
        <v>223</v>
      </c>
      <c r="R6" s="6">
        <f>'HIDDEN Front Sheet'!$C$22</f>
        <v>46539</v>
      </c>
    </row>
    <row r="7" spans="2:18">
      <c r="B7" s="1" t="s">
        <v>224</v>
      </c>
      <c r="C7" s="8">
        <f>Calculator!J98</f>
        <v>0</v>
      </c>
      <c r="H7" s="4"/>
      <c r="I7" s="4"/>
      <c r="J7" s="4"/>
      <c r="Q7" s="1" t="s">
        <v>224</v>
      </c>
      <c r="R7" s="8">
        <f>'HIDDEN Front Sheet'!$M$33</f>
        <v>1500000</v>
      </c>
    </row>
    <row r="8" spans="2:18">
      <c r="B8" s="1" t="s">
        <v>225</v>
      </c>
      <c r="C8" s="9">
        <v>0.75</v>
      </c>
      <c r="Q8" s="1" t="s">
        <v>225</v>
      </c>
      <c r="R8" s="14">
        <v>0.75</v>
      </c>
    </row>
    <row r="9" spans="2:18">
      <c r="B9" s="1" t="s">
        <v>226</v>
      </c>
      <c r="C9" s="10">
        <f>Calculator!C100</f>
        <v>0</v>
      </c>
      <c r="H9" s="11"/>
      <c r="I9" s="11"/>
      <c r="J9" s="11"/>
      <c r="K9" s="12"/>
      <c r="L9" s="12"/>
      <c r="M9" s="12"/>
      <c r="N9" s="12"/>
      <c r="O9" s="12"/>
      <c r="P9" s="12"/>
      <c r="Q9" s="1" t="s">
        <v>226</v>
      </c>
      <c r="R9" s="13">
        <f>'HIDDEN Front Sheet'!C26</f>
        <v>8.4000000000000005E-2</v>
      </c>
    </row>
    <row r="10" spans="2:18">
      <c r="B10" s="1" t="s">
        <v>227</v>
      </c>
      <c r="C10" s="13">
        <f>C9/12</f>
        <v>0</v>
      </c>
      <c r="H10" s="4"/>
      <c r="I10" s="4"/>
      <c r="J10" s="4"/>
      <c r="K10" s="12"/>
      <c r="L10" s="12"/>
      <c r="M10" s="12"/>
      <c r="N10" s="12"/>
      <c r="O10" s="12"/>
      <c r="P10" s="12"/>
      <c r="Q10" s="1" t="s">
        <v>227</v>
      </c>
      <c r="R10" s="13">
        <f>R9/12</f>
        <v>7.0000000000000001E-3</v>
      </c>
    </row>
    <row r="11" spans="2:18" ht="16" thickBot="1">
      <c r="B11" s="2" t="s">
        <v>53</v>
      </c>
      <c r="C11" s="217">
        <f>Calculator!K98</f>
        <v>0</v>
      </c>
      <c r="H11" s="4"/>
      <c r="I11" s="4"/>
      <c r="J11" s="4"/>
      <c r="K11" s="12"/>
      <c r="L11" s="12"/>
      <c r="M11" s="12"/>
      <c r="N11" s="12"/>
      <c r="O11" s="12"/>
      <c r="P11" s="12"/>
      <c r="Q11" s="2" t="s">
        <v>53</v>
      </c>
      <c r="R11" s="16">
        <f>R7*R8</f>
        <v>1125000</v>
      </c>
    </row>
    <row r="12" spans="2:18">
      <c r="B12" s="17" t="s">
        <v>228</v>
      </c>
      <c r="C12" s="18">
        <f>SUM(IF(Calculator!E62="No",0,Calculator!C62),IF(Calculator!E64="No",0,Calculator!C64))</f>
        <v>175</v>
      </c>
      <c r="H12" s="4"/>
      <c r="I12" s="4"/>
      <c r="J12" s="4"/>
      <c r="L12" s="12"/>
      <c r="M12" s="12"/>
      <c r="N12" s="12"/>
      <c r="O12" s="12"/>
      <c r="P12" s="12"/>
      <c r="Q12" s="17" t="s">
        <v>228</v>
      </c>
      <c r="R12" s="18">
        <f>SUM('[3]Tarriff of Fees'!$C$3:$C$4)</f>
        <v>175</v>
      </c>
    </row>
    <row r="13" spans="2:18">
      <c r="B13" s="19" t="s">
        <v>131</v>
      </c>
      <c r="C13" s="8">
        <f>Calculator!C70</f>
        <v>105</v>
      </c>
      <c r="H13" s="4"/>
      <c r="I13" s="4"/>
      <c r="J13" s="4"/>
      <c r="Q13" s="19" t="s">
        <v>131</v>
      </c>
      <c r="R13" s="8">
        <f>'[3]Tarriff of Fees'!$C$5</f>
        <v>105</v>
      </c>
    </row>
    <row r="14" spans="2:18" ht="33" thickBot="1">
      <c r="B14" s="20" t="s">
        <v>229</v>
      </c>
      <c r="C14" s="21" t="e">
        <f>(C15*Calculator!$C$34)</f>
        <v>#VALUE!</v>
      </c>
      <c r="H14" s="4"/>
      <c r="I14" s="4"/>
      <c r="J14" s="4"/>
      <c r="K14" s="12"/>
      <c r="Q14" s="20" t="s">
        <v>229</v>
      </c>
      <c r="R14" s="21">
        <f>IF('HIDDEN Front Sheet'!D37="No",0,(R15*'HIDDEN Front Sheet'!$C$15))</f>
        <v>6200</v>
      </c>
    </row>
    <row r="15" spans="2:18" ht="16">
      <c r="B15" s="22" t="s">
        <v>230</v>
      </c>
      <c r="C15" s="50">
        <f>SUM(Calculator!C43:I43)</f>
        <v>0</v>
      </c>
      <c r="D15" s="12"/>
      <c r="H15" s="4"/>
      <c r="I15" s="4"/>
      <c r="J15" s="4"/>
      <c r="K15" s="12"/>
      <c r="Q15" s="22" t="s">
        <v>230</v>
      </c>
      <c r="R15" s="50">
        <f>SUM('HIDDEN Front Sheet'!C20:F20)</f>
        <v>310000</v>
      </c>
    </row>
    <row r="16" spans="2:18" ht="32">
      <c r="B16" s="22" t="s">
        <v>231</v>
      </c>
      <c r="C16" s="8">
        <f>IF(Calculator!E60="No",C15-C14,C15)</f>
        <v>0</v>
      </c>
      <c r="H16" s="4"/>
      <c r="I16" s="4"/>
      <c r="J16" s="4"/>
      <c r="K16" s="12"/>
      <c r="L16" s="12"/>
      <c r="M16" s="12"/>
      <c r="N16" s="12"/>
      <c r="O16" s="12"/>
      <c r="P16" s="12"/>
      <c r="Q16" s="22" t="s">
        <v>231</v>
      </c>
      <c r="R16" s="8">
        <f>R15</f>
        <v>310000</v>
      </c>
    </row>
    <row r="17" spans="2:31" ht="32">
      <c r="B17" s="22" t="s">
        <v>232</v>
      </c>
      <c r="C17" s="8" t="e">
        <f>C15+C14+C12</f>
        <v>#VALUE!</v>
      </c>
      <c r="H17" s="4"/>
      <c r="I17" s="4"/>
      <c r="J17" s="4"/>
      <c r="K17" s="4"/>
      <c r="Q17" s="22" t="s">
        <v>232</v>
      </c>
      <c r="R17" s="8">
        <f>SUM(R16,R14,R12)</f>
        <v>316375</v>
      </c>
    </row>
    <row r="18" spans="2:31">
      <c r="B18" s="19" t="s">
        <v>233</v>
      </c>
      <c r="C18" s="15" t="s">
        <v>234</v>
      </c>
      <c r="H18" s="4"/>
      <c r="I18" s="4"/>
      <c r="J18" s="4"/>
      <c r="Q18" s="19" t="s">
        <v>233</v>
      </c>
      <c r="R18" s="71">
        <f>PMT(R9/12,R5,-R17,R17,0)</f>
        <v>2214.625</v>
      </c>
    </row>
    <row r="19" spans="2:31">
      <c r="B19" s="19" t="s">
        <v>235</v>
      </c>
      <c r="C19" s="8">
        <f>IF('Calculator Redemption'!B11="",_xlfn.XLOOKUP($C$5,$A$39:$A$62,$D$39:$D$62,0,0,1)+_xlfn.XLOOKUP($C$5,$E$39:$E$62,$H$39:$H$62,0,0,1)+_xlfn.XLOOKUP($C$5,$I$39:$I$62,$L$39:$L$62,0,0,1)+_xlfn.XLOOKUP($C$5,$M$39:$M$62,$P$39:$P$62,0,0,1),_xlfn.XLOOKUP('Calculator Redemption'!$B$11,$B$39:$B$62,$D$39:$D$62,0,0,1)+_xlfn.XLOOKUP('Calculator Redemption'!$B$11,$F$39:$F$62,$H$39:$H$62,0,0,1)+_xlfn.XLOOKUP('Calculator Redemption'!$B$11,$J$39:$J$62,$L$39:$L$62,0,0,1)+_xlfn.XLOOKUP('Calculator Redemption'!$B$11,$N$39:$N$62,$P$39:$P$62,0,0,1))</f>
        <v>0</v>
      </c>
      <c r="H19" s="4"/>
      <c r="I19" s="4"/>
      <c r="J19" s="4"/>
      <c r="Q19" s="19" t="s">
        <v>235</v>
      </c>
      <c r="R19" s="8">
        <f>IF('HIDDEN Redemption'!B11="",_xlfn.XLOOKUP($C$5,$A$39:$A$56,$T$39:$T$56,0,0,1)+_xlfn.XLOOKUP($C$5,$E$39:$E$56,$W$39:$W$56,0,0,1)+_xlfn.XLOOKUP($C$5,$I$39:$I$56,$Z$39:$Z$56,0,0,1)+_xlfn.XLOOKUP($C$5,$M$39:$M$56,$AC$39:$AC$56,0,0,1),_xlfn.XLOOKUP('HIDDEN Redemption'!$B$11,$B$39:$B$56,$T$39:$T$56,0,0,1)+_xlfn.XLOOKUP('HIDDEN Redemption'!$B$11,$F$39:$F$56,$W$39:$W$56,0,0,1)+_xlfn.XLOOKUP('HIDDEN Redemption'!$B$11,$J$39:$J$56,$Z$39:$Z$56,0,0,1)+_xlfn.XLOOKUP('HIDDEN Redemption'!$B$11,$N$39:$N$56,$AC$39:$AC$56,0,0,1))</f>
        <v>0</v>
      </c>
    </row>
    <row r="20" spans="2:31" ht="80">
      <c r="B20" s="19" t="s">
        <v>236</v>
      </c>
      <c r="C20" s="24" t="s">
        <v>237</v>
      </c>
      <c r="H20" s="4"/>
      <c r="I20" s="4"/>
      <c r="J20" s="4"/>
      <c r="K20" s="12"/>
      <c r="L20" s="12"/>
      <c r="M20" s="12"/>
      <c r="N20" s="12"/>
      <c r="O20" s="12"/>
      <c r="P20" s="12"/>
      <c r="Q20" s="19" t="s">
        <v>236</v>
      </c>
      <c r="R20" s="24" t="s">
        <v>238</v>
      </c>
    </row>
    <row r="21" spans="2:31" ht="16" thickBot="1">
      <c r="B21" s="25" t="s">
        <v>239</v>
      </c>
      <c r="C21" s="16">
        <f>SUM(C39:C62,G39:G62,K39:K62,O39:O62)</f>
        <v>0</v>
      </c>
      <c r="H21" s="4"/>
      <c r="I21" s="4"/>
      <c r="J21" s="4"/>
      <c r="Q21" s="25" t="s">
        <v>239</v>
      </c>
      <c r="R21" s="26">
        <v>0</v>
      </c>
      <c r="T21" s="12"/>
    </row>
    <row r="22" spans="2:31">
      <c r="C22" s="27" t="e">
        <f>SUM(C21,C16,C14,C12,C13)-C19</f>
        <v>#VALUE!</v>
      </c>
      <c r="K22" s="4"/>
      <c r="R22" s="93">
        <f>SUM(R21,R16,R14,R12,R13)-R19</f>
        <v>316480</v>
      </c>
    </row>
    <row r="25" spans="2:31">
      <c r="B25" s="101" t="s">
        <v>240</v>
      </c>
      <c r="Q25" s="74" t="s">
        <v>241</v>
      </c>
    </row>
    <row r="26" spans="2:31">
      <c r="B26" s="77"/>
      <c r="C26" s="31"/>
      <c r="D26" s="3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91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2:31">
      <c r="B27" s="28"/>
      <c r="C27" s="105" t="s">
        <v>73</v>
      </c>
      <c r="D27" s="106"/>
      <c r="E27" s="102"/>
      <c r="F27" s="102"/>
      <c r="G27" s="105" t="s">
        <v>73</v>
      </c>
      <c r="H27" s="106"/>
      <c r="I27" s="102"/>
      <c r="J27" s="102"/>
      <c r="K27" s="105" t="s">
        <v>73</v>
      </c>
      <c r="L27" s="106"/>
      <c r="M27" s="102"/>
      <c r="N27" s="102"/>
      <c r="O27" s="105" t="s">
        <v>73</v>
      </c>
      <c r="P27" s="106"/>
      <c r="Q27" s="28"/>
      <c r="R27" s="105" t="s">
        <v>221</v>
      </c>
      <c r="S27" s="106"/>
      <c r="T27" s="105" t="s">
        <v>221</v>
      </c>
      <c r="U27" s="106"/>
      <c r="V27" s="105" t="s">
        <v>221</v>
      </c>
      <c r="W27" s="106"/>
      <c r="X27" s="105" t="s">
        <v>221</v>
      </c>
      <c r="Y27" s="106"/>
      <c r="Z27" s="29"/>
      <c r="AA27" s="29"/>
      <c r="AB27" s="29"/>
      <c r="AC27" s="29"/>
    </row>
    <row r="28" spans="2:31">
      <c r="B28" s="28"/>
      <c r="C28" s="105" t="s">
        <v>213</v>
      </c>
      <c r="D28" s="106"/>
      <c r="E28" s="102"/>
      <c r="F28" s="102"/>
      <c r="G28" s="105" t="s">
        <v>41</v>
      </c>
      <c r="H28" s="106"/>
      <c r="I28" s="102"/>
      <c r="J28" s="102"/>
      <c r="K28" s="105" t="s">
        <v>42</v>
      </c>
      <c r="L28" s="106"/>
      <c r="M28" s="102"/>
      <c r="N28" s="102"/>
      <c r="O28" s="105" t="s">
        <v>43</v>
      </c>
      <c r="P28" s="106"/>
      <c r="Q28" s="28"/>
      <c r="R28" s="105" t="s">
        <v>213</v>
      </c>
      <c r="S28" s="106"/>
      <c r="T28" s="105" t="s">
        <v>41</v>
      </c>
      <c r="U28" s="106"/>
      <c r="V28" s="105" t="s">
        <v>42</v>
      </c>
      <c r="W28" s="106"/>
      <c r="X28" s="105" t="s">
        <v>43</v>
      </c>
      <c r="Y28" s="106"/>
      <c r="Z28" s="29"/>
      <c r="AA28" s="29"/>
      <c r="AB28" s="29"/>
      <c r="AC28" s="29"/>
    </row>
    <row r="29" spans="2:31">
      <c r="B29" s="28"/>
      <c r="C29" s="34" t="s">
        <v>242</v>
      </c>
      <c r="D29" s="116">
        <f>Calculator!C43</f>
        <v>0</v>
      </c>
      <c r="E29" s="102"/>
      <c r="F29" s="102"/>
      <c r="G29" s="117" t="s">
        <v>242</v>
      </c>
      <c r="H29" s="116">
        <f>MAX(Calculator!$E$43,0)</f>
        <v>0</v>
      </c>
      <c r="I29" s="118"/>
      <c r="J29" s="118"/>
      <c r="K29" s="117" t="s">
        <v>242</v>
      </c>
      <c r="L29" s="116">
        <f>MAX(Calculator!$G$43,0)</f>
        <v>0</v>
      </c>
      <c r="M29" s="118"/>
      <c r="N29" s="118"/>
      <c r="O29" s="117" t="s">
        <v>242</v>
      </c>
      <c r="P29" s="116">
        <f>MAX(Calculator!$I$43,0)</f>
        <v>0</v>
      </c>
      <c r="Q29" s="94"/>
      <c r="R29" s="85" t="s">
        <v>243</v>
      </c>
      <c r="S29" s="116">
        <f>'HIDDEN Front Sheet'!C20</f>
        <v>100000</v>
      </c>
      <c r="T29" s="117" t="s">
        <v>242</v>
      </c>
      <c r="U29" s="116">
        <f>MAX('HIDDEN Front Sheet'!$D$20,0)</f>
        <v>100000</v>
      </c>
      <c r="V29" s="117" t="s">
        <v>242</v>
      </c>
      <c r="W29" s="116">
        <f>MAX('HIDDEN Front Sheet'!$E$20,0)</f>
        <v>100000</v>
      </c>
      <c r="X29" s="117" t="s">
        <v>242</v>
      </c>
      <c r="Y29" s="116">
        <f>MAX('HIDDEN Front Sheet'!$F$20,0)</f>
        <v>10000</v>
      </c>
      <c r="Z29" s="29"/>
      <c r="AA29" s="29"/>
      <c r="AB29" s="29"/>
      <c r="AC29" s="29"/>
      <c r="AD29" s="35"/>
      <c r="AE29" s="35"/>
    </row>
    <row r="30" spans="2:31">
      <c r="B30" s="28"/>
      <c r="C30" s="36" t="s">
        <v>244</v>
      </c>
      <c r="D30" s="30">
        <f>$C$12</f>
        <v>175</v>
      </c>
      <c r="E30" s="102"/>
      <c r="F30" s="102"/>
      <c r="G30" s="36" t="s">
        <v>48</v>
      </c>
      <c r="H30" s="104">
        <f>MIN(Calculator!$E$45,EDATE($C$6,0))</f>
        <v>0</v>
      </c>
      <c r="I30" s="102"/>
      <c r="J30" s="102"/>
      <c r="K30" s="36" t="s">
        <v>48</v>
      </c>
      <c r="L30" s="104">
        <f>MIN(Calculator!$G$45,EDATE($C$6,0))</f>
        <v>0</v>
      </c>
      <c r="M30" s="102"/>
      <c r="N30" s="102"/>
      <c r="O30" s="36" t="s">
        <v>48</v>
      </c>
      <c r="P30" s="104">
        <f>MIN(Calculator!$I$45,EDATE($C$6,0))</f>
        <v>0</v>
      </c>
      <c r="Q30" s="94"/>
      <c r="R30" s="75" t="s">
        <v>244</v>
      </c>
      <c r="S30" s="30">
        <f>R12</f>
        <v>175</v>
      </c>
      <c r="T30" s="36" t="s">
        <v>48</v>
      </c>
      <c r="U30" s="104">
        <f>H30</f>
        <v>0</v>
      </c>
      <c r="V30" s="36" t="s">
        <v>48</v>
      </c>
      <c r="W30" s="104">
        <f>L30</f>
        <v>0</v>
      </c>
      <c r="X30" s="36" t="s">
        <v>48</v>
      </c>
      <c r="Y30" s="104">
        <f>P30</f>
        <v>0</v>
      </c>
      <c r="Z30" s="29"/>
      <c r="AA30" s="29"/>
      <c r="AB30" s="29"/>
      <c r="AC30" s="29"/>
    </row>
    <row r="31" spans="2:31">
      <c r="B31" s="28"/>
      <c r="C31" s="36" t="s">
        <v>131</v>
      </c>
      <c r="D31" s="30">
        <f>$C$13</f>
        <v>105</v>
      </c>
      <c r="E31" s="102"/>
      <c r="F31" s="102"/>
      <c r="G31" s="36"/>
      <c r="H31" s="30"/>
      <c r="I31" s="102"/>
      <c r="J31" s="102"/>
      <c r="K31" s="36"/>
      <c r="L31" s="30"/>
      <c r="M31" s="102"/>
      <c r="N31" s="102"/>
      <c r="O31" s="36"/>
      <c r="P31" s="30"/>
      <c r="Q31" s="94"/>
      <c r="R31" s="75" t="s">
        <v>131</v>
      </c>
      <c r="S31" s="30">
        <f>$C$13</f>
        <v>105</v>
      </c>
      <c r="T31" s="36"/>
      <c r="U31" s="30"/>
      <c r="V31" s="36"/>
      <c r="W31" s="30"/>
      <c r="X31" s="36"/>
      <c r="Y31" s="30"/>
      <c r="Z31" s="29"/>
      <c r="AA31" s="29"/>
      <c r="AB31" s="29"/>
      <c r="AC31" s="29"/>
    </row>
    <row r="32" spans="2:31">
      <c r="B32" s="28"/>
      <c r="C32" s="36" t="s">
        <v>245</v>
      </c>
      <c r="D32" s="30">
        <f>IF(Calculator!E56="No",0,Calculator!C56)</f>
        <v>0</v>
      </c>
      <c r="E32" s="102"/>
      <c r="F32" s="102"/>
      <c r="G32" s="36"/>
      <c r="H32" s="30"/>
      <c r="I32" s="102"/>
      <c r="J32" s="102"/>
      <c r="K32" s="36"/>
      <c r="L32" s="30"/>
      <c r="M32" s="102"/>
      <c r="N32" s="102"/>
      <c r="O32" s="36"/>
      <c r="P32" s="30"/>
      <c r="Q32" s="94"/>
      <c r="R32" s="75" t="s">
        <v>246</v>
      </c>
      <c r="S32" s="30">
        <f>IF('HIDDEN Front Sheet'!D35="No",0,'HIDDEN Front Sheet'!C35)</f>
        <v>0</v>
      </c>
      <c r="T32" s="36"/>
      <c r="U32" s="30"/>
      <c r="V32" s="36"/>
      <c r="W32" s="30"/>
      <c r="X32" s="36"/>
      <c r="Y32" s="30"/>
      <c r="Z32" s="29"/>
      <c r="AA32" s="29"/>
      <c r="AB32" s="29"/>
      <c r="AC32" s="29"/>
    </row>
    <row r="33" spans="1:36">
      <c r="B33" s="28"/>
      <c r="C33" s="36" t="s">
        <v>90</v>
      </c>
      <c r="D33" s="30">
        <f>IF(Calculator!E58="No",0,Calculator!C58)</f>
        <v>0</v>
      </c>
      <c r="E33" s="102"/>
      <c r="F33" s="102"/>
      <c r="G33" s="36"/>
      <c r="H33" s="30"/>
      <c r="I33" s="102"/>
      <c r="J33" s="102"/>
      <c r="K33" s="36"/>
      <c r="L33" s="30"/>
      <c r="M33" s="102"/>
      <c r="N33" s="102"/>
      <c r="O33" s="36"/>
      <c r="P33" s="30"/>
      <c r="Q33" s="94"/>
      <c r="R33" s="75" t="s">
        <v>247</v>
      </c>
      <c r="S33" s="30">
        <f>IF('HIDDEN Front Sheet'!D36="No",0,'HIDDEN Front Sheet'!C36)</f>
        <v>0</v>
      </c>
      <c r="T33" s="36"/>
      <c r="U33" s="30"/>
      <c r="V33" s="36"/>
      <c r="W33" s="30"/>
      <c r="X33" s="36"/>
      <c r="Y33" s="30"/>
      <c r="Z33" s="29"/>
      <c r="AA33" s="29"/>
      <c r="AB33" s="29"/>
      <c r="AC33" s="29"/>
    </row>
    <row r="34" spans="1:36">
      <c r="B34" s="28"/>
      <c r="C34" s="36" t="s">
        <v>96</v>
      </c>
      <c r="D34" s="30" t="e">
        <f>IF(Calculator!E60="No",0,C14)</f>
        <v>#VALUE!</v>
      </c>
      <c r="E34" s="102"/>
      <c r="F34" s="102"/>
      <c r="G34" s="36"/>
      <c r="H34" s="30"/>
      <c r="I34" s="102"/>
      <c r="J34" s="102"/>
      <c r="K34" s="36"/>
      <c r="L34" s="30"/>
      <c r="M34" s="102"/>
      <c r="N34" s="102"/>
      <c r="O34" s="36"/>
      <c r="P34" s="30"/>
      <c r="Q34" s="94"/>
      <c r="R34" s="75" t="s">
        <v>96</v>
      </c>
      <c r="S34" s="30">
        <f>R14</f>
        <v>6200</v>
      </c>
      <c r="T34" s="36"/>
      <c r="U34" s="30"/>
      <c r="V34" s="36"/>
      <c r="W34" s="30"/>
      <c r="X34" s="36"/>
      <c r="Y34" s="30"/>
      <c r="Z34" s="29"/>
      <c r="AA34" s="29"/>
      <c r="AB34" s="29"/>
      <c r="AC34" s="29"/>
    </row>
    <row r="35" spans="1:36">
      <c r="B35" s="28"/>
      <c r="C35" s="33" t="s">
        <v>248</v>
      </c>
      <c r="D35" s="37" t="e">
        <f>SUM(D29:D34)-D31</f>
        <v>#VALUE!</v>
      </c>
      <c r="E35" s="102"/>
      <c r="F35" s="102"/>
      <c r="G35" s="33" t="s">
        <v>248</v>
      </c>
      <c r="H35" s="37">
        <f>H29</f>
        <v>0</v>
      </c>
      <c r="I35" s="102"/>
      <c r="J35" s="102"/>
      <c r="K35" s="33" t="s">
        <v>248</v>
      </c>
      <c r="L35" s="37">
        <f>L29</f>
        <v>0</v>
      </c>
      <c r="M35" s="102"/>
      <c r="N35" s="102"/>
      <c r="O35" s="33" t="s">
        <v>248</v>
      </c>
      <c r="P35" s="37">
        <f>P29</f>
        <v>0</v>
      </c>
      <c r="Q35" s="94"/>
      <c r="R35" s="86" t="s">
        <v>248</v>
      </c>
      <c r="S35" s="37">
        <f>SUM(S29:S34)-S31</f>
        <v>106375</v>
      </c>
      <c r="T35" s="86" t="s">
        <v>248</v>
      </c>
      <c r="U35" s="37">
        <f>U29</f>
        <v>100000</v>
      </c>
      <c r="V35" s="86" t="s">
        <v>248</v>
      </c>
      <c r="W35" s="37">
        <f>W29</f>
        <v>100000</v>
      </c>
      <c r="X35" s="86" t="s">
        <v>248</v>
      </c>
      <c r="Y35" s="37">
        <f>Y29</f>
        <v>10000</v>
      </c>
      <c r="Z35" s="29"/>
      <c r="AA35" s="29"/>
      <c r="AB35" s="29"/>
      <c r="AC35" s="29"/>
    </row>
    <row r="36" spans="1:36">
      <c r="B36" s="78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41"/>
      <c r="O36" s="141"/>
      <c r="P36" s="141"/>
      <c r="Q36" s="92"/>
      <c r="R36" s="120"/>
      <c r="S36" s="121"/>
      <c r="T36" s="120"/>
      <c r="U36" s="121"/>
      <c r="V36" s="120"/>
      <c r="W36" s="121"/>
      <c r="X36" s="29"/>
      <c r="Y36" s="29"/>
      <c r="Z36" s="29"/>
      <c r="AA36" s="29"/>
      <c r="AB36" s="29"/>
      <c r="AC36" s="29"/>
    </row>
    <row r="37" spans="1:36">
      <c r="B37" s="79"/>
      <c r="C37" s="38"/>
      <c r="D37" s="38"/>
      <c r="E37" s="38"/>
      <c r="F37" s="38"/>
      <c r="G37" s="38"/>
      <c r="H37" s="38"/>
      <c r="I37" s="38"/>
      <c r="J37" s="38"/>
      <c r="K37" s="38"/>
      <c r="L37" s="108"/>
      <c r="M37" s="38"/>
      <c r="N37" s="142"/>
      <c r="O37" s="142"/>
      <c r="P37" s="142"/>
      <c r="Q37" s="119" t="s">
        <v>249</v>
      </c>
      <c r="R37" s="87"/>
      <c r="S37" s="38"/>
      <c r="T37" s="87"/>
      <c r="U37" s="38"/>
      <c r="V37" s="87"/>
      <c r="W37" s="38"/>
      <c r="X37" s="76"/>
      <c r="Y37" s="76"/>
      <c r="Z37" s="76"/>
      <c r="AA37" s="76"/>
      <c r="AB37" s="76"/>
      <c r="AC37" s="76"/>
      <c r="AD37" s="119" t="s">
        <v>249</v>
      </c>
      <c r="AH37" s="12"/>
    </row>
    <row r="38" spans="1:36">
      <c r="B38" s="97"/>
      <c r="C38" s="39" t="s">
        <v>250</v>
      </c>
      <c r="D38" s="39" t="s">
        <v>251</v>
      </c>
      <c r="E38" s="39"/>
      <c r="F38" s="39"/>
      <c r="G38" s="39" t="s">
        <v>250</v>
      </c>
      <c r="H38" s="39" t="s">
        <v>251</v>
      </c>
      <c r="I38" s="39"/>
      <c r="J38" s="39"/>
      <c r="K38" s="39" t="s">
        <v>250</v>
      </c>
      <c r="L38" s="39" t="s">
        <v>251</v>
      </c>
      <c r="M38" s="39"/>
      <c r="N38" s="39"/>
      <c r="O38" s="39" t="s">
        <v>250</v>
      </c>
      <c r="P38" s="39" t="s">
        <v>251</v>
      </c>
      <c r="Q38" s="95" t="e">
        <f>-D35</f>
        <v>#VALUE!</v>
      </c>
      <c r="R38" s="39" t="s">
        <v>250</v>
      </c>
      <c r="S38" s="88" t="s">
        <v>252</v>
      </c>
      <c r="T38" s="39" t="s">
        <v>251</v>
      </c>
      <c r="U38" s="39" t="s">
        <v>250</v>
      </c>
      <c r="V38" s="88" t="s">
        <v>252</v>
      </c>
      <c r="W38" s="39" t="s">
        <v>251</v>
      </c>
      <c r="X38" s="39" t="s">
        <v>250</v>
      </c>
      <c r="Y38" s="39" t="s">
        <v>252</v>
      </c>
      <c r="Z38" s="39" t="s">
        <v>251</v>
      </c>
      <c r="AA38" s="39" t="s">
        <v>250</v>
      </c>
      <c r="AB38" s="39" t="s">
        <v>252</v>
      </c>
      <c r="AC38" s="39" t="s">
        <v>251</v>
      </c>
      <c r="AD38" s="123">
        <f>-S35</f>
        <v>-106375</v>
      </c>
    </row>
    <row r="39" spans="1:36">
      <c r="A39">
        <v>1</v>
      </c>
      <c r="B39" s="98">
        <f>MIN(EDATE(C4,1),IF('HIDDEN Redemption'!B11="",Calculator!$C$48,'HIDDEN Redemption'!$B$11))</f>
        <v>31</v>
      </c>
      <c r="C39" s="40" t="str">
        <f>IF($A39&gt;$C$5,"",$D$35*$C$9/365*($B$39-$C$4))</f>
        <v/>
      </c>
      <c r="D39" s="40" t="e">
        <f>D35+C39</f>
        <v>#VALUE!</v>
      </c>
      <c r="E39" s="143" t="e">
        <f>LOOKUP(H30,B39:B62,A39:A62)+1</f>
        <v>#N/A</v>
      </c>
      <c r="F39" s="98">
        <f>MIN(EDATE(H30,1),IF('HIDDEN Redemption'!B11="",Calculator!$C$48,'HIDDEN Redemption'!$B$11))</f>
        <v>31</v>
      </c>
      <c r="G39" s="40" t="str">
        <f>IFERROR(IF($E39&gt;$C$5,"",$H$35*$C$9/365*($F$39-$C$4)),"0")</f>
        <v>0</v>
      </c>
      <c r="H39" s="40">
        <f>IFERROR(H35+G39,"0")</f>
        <v>0</v>
      </c>
      <c r="I39" s="143" t="e">
        <f>LOOKUP(L30,F39:F62,E39:E62)+1</f>
        <v>#N/A</v>
      </c>
      <c r="J39" s="98">
        <f>MIN(EDATE(L30,1),IF('HIDDEN Redemption'!$B$11="",Calculator!$C$48,'HIDDEN Redemption'!$B$11))</f>
        <v>31</v>
      </c>
      <c r="K39" s="40" t="str">
        <f>IFERROR(IF($I39&gt;$C$5,"",$L$35*$C$9/365*($J$39-$L$30)),"0")</f>
        <v>0</v>
      </c>
      <c r="L39" s="40">
        <f>IFERROR(L35+K39,"0")</f>
        <v>0</v>
      </c>
      <c r="M39" s="143" t="e">
        <f>LOOKUP(P30,J39:J62,I39:I62)+1</f>
        <v>#N/A</v>
      </c>
      <c r="N39" s="98">
        <f>MIN(EDATE(P30,1),IF('HIDDEN Redemption'!$B$11="",Calculator!$C$48,'HIDDEN Redemption'!$B$11))</f>
        <v>31</v>
      </c>
      <c r="O39" s="40" t="str">
        <f>IFERROR(IF($M39&gt;$C$5,"",$L$35*$C$9/365*($N$39-$P$30)),"0")</f>
        <v>0</v>
      </c>
      <c r="P39" s="40">
        <f>IFERROR(P35+O39,"0")</f>
        <v>0</v>
      </c>
      <c r="Q39" s="96" t="e">
        <f t="shared" ref="Q39:Q55" si="0">IF(A39=$C$5,SUM(D39,_xlfn.XLOOKUP($C$5,$I$39:$I$56,$L$39:$L$56,0,0,1),_xlfn.XLOOKUP($C$5,$E$39:$E$56,$H$39:$H$56,0,0,1),_xlfn.XLOOKUP($C$5,$M$39:$M$56,$P$39:$P$56,0,0,1)),SUM(IF(AND($H$30&gt;0,$E$39=A39),-$H$29,0),IF(AND($L$30&gt;0,$I$39=A39),-$L$29,0),IF(AND($P$30&gt;0,$M$39=A39),-$P$29,0)))</f>
        <v>#N/A</v>
      </c>
      <c r="R39" s="40" t="str">
        <f>IF($A39&gt;$C$5,"",$S$35*$C$9/365*($B$39-$C$4))</f>
        <v/>
      </c>
      <c r="S39" s="89">
        <f>IF(A39&gt;$R$5,"",PMT($R$9/12,$R$5,-S35,S35,0))</f>
        <v>744.625</v>
      </c>
      <c r="T39" s="40" t="e">
        <f>S35+R39-S39</f>
        <v>#VALUE!</v>
      </c>
      <c r="U39" s="40" t="e">
        <f>IF($E39&gt;$C$5,"",$U$35*$C$9/365*($F$39-$U$30))</f>
        <v>#N/A</v>
      </c>
      <c r="V39" s="89" t="e">
        <f>IF(E39&gt;$C$5,"",PMT($R$9/12,$C$5-1,-U35,U35,0))</f>
        <v>#N/A</v>
      </c>
      <c r="W39" s="40">
        <f>U35</f>
        <v>100000</v>
      </c>
      <c r="X39" s="40" t="e">
        <f>IF($I39&gt;$C$5,"",$W$35*$C$9/365*($J$39-$W$30))</f>
        <v>#N/A</v>
      </c>
      <c r="Y39" s="40" t="e">
        <f>IF(I39&gt;$C$5,"",PMT($R$9/12,$C$5-3,-W35,W35,0))</f>
        <v>#N/A</v>
      </c>
      <c r="Z39" s="40">
        <f>W35</f>
        <v>100000</v>
      </c>
      <c r="AA39" s="40" t="e">
        <f>IF($M39&gt;$C$5,"",$Y$35*$C$9/365*($N$39-$Y$30))</f>
        <v>#N/A</v>
      </c>
      <c r="AB39" s="40" t="e">
        <f>IF(M39&gt;$C$5,"",PMT($R$9/12,$C$5-3,-Y35,Y35,0))</f>
        <v>#N/A</v>
      </c>
      <c r="AC39" s="40">
        <f>Y35</f>
        <v>10000</v>
      </c>
      <c r="AD39" s="123" t="str">
        <f t="shared" ref="AD39:AD62" si="1">IFERROR(IF(A39=$C$5,SUM(T39,S39,_xlfn.XLOOKUP($C$5,$I$39:$I$56,$Z$39:$Z$56,0,0,1),_xlfn.XLOOKUP($C$5,$I$39:$I$56,$Y$39:$Y$56,0,0,1),_xlfn.XLOOKUP($C$5,$E$39:$E$56,$W$39:$W$56,0,0,1),_xlfn.XLOOKUP($C$5,$E$39:$E$56,$V$39:$V$56,0,0,1),_xlfn.XLOOKUP($C$5,$M$39:$M$56,$AB$39:$AB$56,0,0,1),_xlfn.XLOOKUP($C$5,$M$39:$M$56,$AC$39:$AC$56,0,0,1)),SUM(IF(AND($H$30&gt;0,$E$39=A39),-$H$29,0),IF(AND($L$30&gt;0,$I$39=A39),-$L$29,0),IF(AND($P$30&gt;0,$M$39=A39),-$P$29,0))+S39+_xlfn.XLOOKUP(A39,$E$39:$E$56,$V$39:$V$56,0,0,1)+_xlfn.XLOOKUP(A39,$I$39:$I$56,$Y$39:$Y$56,0,0,1)+_xlfn.XLOOKUP(A39,$M$39:$M$56,$AB$39:$AB$56,0,0,1)),"")</f>
        <v/>
      </c>
      <c r="AE39">
        <f>B39-C4</f>
        <v>31</v>
      </c>
      <c r="AF39">
        <f>SUM(AE39:AE50)</f>
        <v>363</v>
      </c>
      <c r="AH39" s="12"/>
      <c r="AI39" s="12"/>
      <c r="AJ39" s="12"/>
    </row>
    <row r="40" spans="1:36">
      <c r="A40">
        <f>A39+1</f>
        <v>2</v>
      </c>
      <c r="B40" s="99">
        <f>MIN(EDATE(B39,1),IF('HIDDEN Redemption'!$B$11="",Calculator!$C$48,'HIDDEN Redemption'!$B$11))</f>
        <v>59</v>
      </c>
      <c r="C40" s="40" t="str">
        <f>IFERROR(IF(OR(A40&gt;'Calculator Redemption'!$B$12,$A40&gt;$C$5),"",D39*$C$9/365*($B40-$B39)),"")</f>
        <v/>
      </c>
      <c r="D40" s="40" t="str">
        <f>IF(C40="","",D39+C40+IF(OR($A40=$C$5,$B40='HIDDEN Redemption'!$B$11),$D$31,0))</f>
        <v/>
      </c>
      <c r="E40" t="e">
        <f>E39+1</f>
        <v>#N/A</v>
      </c>
      <c r="F40" s="99">
        <f>MIN(EDATE(F39,1),IF('HIDDEN Redemption'!$B$11="",Calculator!$C$48,'HIDDEN Redemption'!$B$11))</f>
        <v>59</v>
      </c>
      <c r="G40" s="40" t="str">
        <f>IFERROR(IF(OR(E40&gt;'Calculator Redemption'!$B$12,$E40&gt;$C$5),"",H39*$C$9/365*($F40-$F39)),"")</f>
        <v/>
      </c>
      <c r="H40" s="40" t="str">
        <f>IF(G40="","",H39+G40)</f>
        <v/>
      </c>
      <c r="I40" t="e">
        <f>I39+1</f>
        <v>#N/A</v>
      </c>
      <c r="J40" s="99">
        <f>MIN(EDATE(J39,1),IF('HIDDEN Redemption'!$B$11="",Calculator!$C$48,'HIDDEN Redemption'!$B$11))</f>
        <v>59</v>
      </c>
      <c r="K40" s="40" t="str">
        <f>IFERROR(IF(OR(I40&gt;'Calculator Redemption'!$B$12,$I40&gt;$C$5),"",L39*$C$9/365*($J40-$J39)),"")</f>
        <v/>
      </c>
      <c r="L40" s="40" t="str">
        <f>IF(K40="","",L39+K40)</f>
        <v/>
      </c>
      <c r="M40" t="e">
        <f>M39+1</f>
        <v>#N/A</v>
      </c>
      <c r="N40" s="99">
        <f>MIN(EDATE(N39,1),IF('HIDDEN Redemption'!$B$11="",Calculator!$C$48,'HIDDEN Redemption'!$B$11))</f>
        <v>59</v>
      </c>
      <c r="O40" s="40" t="str">
        <f>IFERROR(IF(OR(M40&gt;'Calculator Redemption'!$B$12,$M40&gt;$C$5),"",P39*$C$9/365*($N40-$N39)),"")</f>
        <v/>
      </c>
      <c r="P40" s="40" t="str">
        <f>IF(O40="","",P39+O40)</f>
        <v/>
      </c>
      <c r="Q40" s="96" t="e">
        <f t="shared" si="0"/>
        <v>#N/A</v>
      </c>
      <c r="R40" s="40" t="str">
        <f>IF(OR(A40&gt;'HIDDEN Redemption'!$B$12,$A40&gt;$C$5),"",T39*$C$9/365*($B40-$B39))</f>
        <v/>
      </c>
      <c r="S40" s="89">
        <f>IF(OR(A40&gt;'HIDDEN Redemption'!$B$12,DAY($B40)&lt;&gt;DAY($B39)),0,S39)</f>
        <v>0</v>
      </c>
      <c r="T40" s="40" t="str">
        <f>IFERROR(T39+R40-S40+IF(OR($A40=$C$5,$A40='HIDDEN Redemption'!$B$12),$S$31,0),"")</f>
        <v/>
      </c>
      <c r="U40" s="40" t="e">
        <f>IF(OR(E40&gt;'HIDDEN Redemption'!$B$12,$E40&gt;$C$5),"",W39*$C$9/365*($F40-$F39))</f>
        <v>#N/A</v>
      </c>
      <c r="V40" s="89" t="e">
        <f>IF(OR(E40&gt;'HIDDEN Redemption'!$B$12,DAY($F40)&lt;&gt;DAY($F39)),0,V39)</f>
        <v>#N/A</v>
      </c>
      <c r="W40" s="40" t="str">
        <f>IFERROR(W39+U40-V40,"")</f>
        <v/>
      </c>
      <c r="X40" s="40" t="e">
        <f>IF(OR(I40&gt;'HIDDEN Redemption'!$B$12,$I40&gt;$C$5),"",Z39*$C$9/365*($J40-$J39))</f>
        <v>#N/A</v>
      </c>
      <c r="Y40" s="40" t="e">
        <f>IF(OR(I40&gt;'HIDDEN Redemption'!$B$12,DAY($J40)&lt;&gt;DAY($J39)),0,Y39)</f>
        <v>#N/A</v>
      </c>
      <c r="Z40" s="40" t="str">
        <f>IFERROR(Z39+X40-Y40,"")</f>
        <v/>
      </c>
      <c r="AA40" s="40" t="e">
        <f>IF(OR(M40&gt;'HIDDEN Redemption'!$B$12,$M40&gt;$C$5),"",AC39*$C$9/365*($N40-$N39))</f>
        <v>#N/A</v>
      </c>
      <c r="AB40" s="40" t="e">
        <f>IF(OR(M40&gt;'HIDDEN Redemption'!$B$12,DAY($N40)&lt;&gt;DAY($N39)),0,AB39)</f>
        <v>#N/A</v>
      </c>
      <c r="AC40" s="40" t="str">
        <f>IFERROR(AC39+AA40-AB40,"")</f>
        <v/>
      </c>
      <c r="AD40" s="123" t="str">
        <f t="shared" si="1"/>
        <v/>
      </c>
      <c r="AE40">
        <f t="shared" ref="AE40:AE50" si="2">B40-B39</f>
        <v>28</v>
      </c>
      <c r="AF40" s="12"/>
      <c r="AG40" s="122"/>
      <c r="AH40" s="12"/>
      <c r="AJ40" s="12"/>
    </row>
    <row r="41" spans="1:36">
      <c r="A41">
        <f t="shared" ref="A41:A62" si="3">A40+1</f>
        <v>3</v>
      </c>
      <c r="B41" s="99">
        <f>MIN(EDATE(B40,1),IF('HIDDEN Redemption'!$B$11="",Calculator!$C$48,'HIDDEN Redemption'!$B$11))</f>
        <v>88</v>
      </c>
      <c r="C41" s="40" t="str">
        <f>IFERROR(IF(OR(A41&gt;'Calculator Redemption'!$B$12,$A41&gt;$C$5),"",D40*$C$9/365*($B41-$B40)),"")</f>
        <v/>
      </c>
      <c r="D41" s="40" t="str">
        <f>IF(C41="","",D40+C41+IF(OR($A41=$C$5,$B41='HIDDEN Redemption'!$B$11),$D$31,0))</f>
        <v/>
      </c>
      <c r="E41" t="e">
        <f t="shared" ref="E41:E62" si="4">E40+1</f>
        <v>#N/A</v>
      </c>
      <c r="F41" s="99">
        <f>MIN(EDATE(F40,1),IF('HIDDEN Redemption'!$B$11="",Calculator!$C$48,'HIDDEN Redemption'!$B$11))</f>
        <v>88</v>
      </c>
      <c r="G41" s="40" t="str">
        <f>IFERROR(IF(OR(E41&gt;'Calculator Redemption'!$B$12,$E41&gt;$C$5),"",H40*$C$9/365*($F41-$F40)),"")</f>
        <v/>
      </c>
      <c r="H41" s="40" t="str">
        <f t="shared" ref="H41:H62" si="5">IF(G41="","",H40+G41)</f>
        <v/>
      </c>
      <c r="I41" t="e">
        <f t="shared" ref="I41:I62" si="6">I40+1</f>
        <v>#N/A</v>
      </c>
      <c r="J41" s="99">
        <f>MIN(EDATE(J40,1),IF('HIDDEN Redemption'!$B$11="",Calculator!$C$48,'HIDDEN Redemption'!$B$11))</f>
        <v>88</v>
      </c>
      <c r="K41" s="40" t="str">
        <f>IFERROR(IF(OR(I41&gt;'Calculator Redemption'!$B$12,$I41&gt;$C$5),"",L40*$C$9/365*($J41-$J40)),"")</f>
        <v/>
      </c>
      <c r="L41" s="40" t="str">
        <f t="shared" ref="L41:L48" si="7">IF(K41="","",L40+K41)</f>
        <v/>
      </c>
      <c r="M41" t="e">
        <f t="shared" ref="M41:M62" si="8">M40+1</f>
        <v>#N/A</v>
      </c>
      <c r="N41" s="99">
        <f>MIN(EDATE(N40,1),IF('HIDDEN Redemption'!$B$11="",Calculator!$C$48,'HIDDEN Redemption'!$B$11))</f>
        <v>88</v>
      </c>
      <c r="O41" s="40" t="str">
        <f>IFERROR(IF(OR(M41&gt;'Calculator Redemption'!$B$12,$M41&gt;$C$5),"",P40*$C$9/365*($N41-$N40)),"")</f>
        <v/>
      </c>
      <c r="P41" s="40" t="str">
        <f t="shared" ref="P41:P48" si="9">IF(O41="","",P40+O41)</f>
        <v/>
      </c>
      <c r="Q41" s="96" t="e">
        <f t="shared" si="0"/>
        <v>#N/A</v>
      </c>
      <c r="R41" s="40" t="str">
        <f>IF(OR(A41&gt;'HIDDEN Redemption'!$B$12,$A41&gt;$C$5),"",T40*$C$9/365*($B41-$B40))</f>
        <v/>
      </c>
      <c r="S41" s="89">
        <f>IF(OR(A41&gt;'HIDDEN Redemption'!$B$12,DAY($B41)&lt;&gt;DAY($B40)),0,S40)</f>
        <v>0</v>
      </c>
      <c r="T41" s="40" t="str">
        <f>IFERROR(T40+R41-S41+IF(OR($A41=$C$5,$A41='HIDDEN Redemption'!$B$12),$S$31,0),"")</f>
        <v/>
      </c>
      <c r="U41" s="40" t="e">
        <f>IF(OR(E41&gt;'HIDDEN Redemption'!$B$12,$E41&gt;$C$5),"",W40*$C$9/365*($F41-$F40))</f>
        <v>#N/A</v>
      </c>
      <c r="V41" s="89" t="e">
        <f>IF(OR(E41&gt;'HIDDEN Redemption'!$B$12,DAY($F41)&lt;&gt;DAY($F40)),0,V40)</f>
        <v>#N/A</v>
      </c>
      <c r="W41" s="40" t="str">
        <f t="shared" ref="W41:W62" si="10">IFERROR(W40+U41-V41,"")</f>
        <v/>
      </c>
      <c r="X41" s="40" t="e">
        <f>IF(OR(I41&gt;'HIDDEN Redemption'!$B$12,$I41&gt;$C$5),"",Z40*$C$9/365*($J41-$J40))</f>
        <v>#N/A</v>
      </c>
      <c r="Y41" s="40" t="e">
        <f>IF(OR(I41&gt;'HIDDEN Redemption'!$B$12,DAY($J41)&lt;&gt;DAY($J40)),0,Y40)</f>
        <v>#N/A</v>
      </c>
      <c r="Z41" s="40" t="str">
        <f t="shared" ref="Z41:Z62" si="11">IFERROR(Z40+X41-Y41,"")</f>
        <v/>
      </c>
      <c r="AA41" s="40" t="e">
        <f>IF(OR(M41&gt;'HIDDEN Redemption'!$B$12,$M41&gt;$C$5),"",AC40*$C$9/365*($N41-$N40))</f>
        <v>#N/A</v>
      </c>
      <c r="AB41" s="40" t="e">
        <f>IF(OR(M41&gt;'HIDDEN Redemption'!$B$12,DAY($N41)&lt;&gt;DAY($N40)),0,AB40)</f>
        <v>#N/A</v>
      </c>
      <c r="AC41" s="40" t="str">
        <f t="shared" ref="AC41:AC62" si="12">IFERROR(AC40+AA41-AB41,"")</f>
        <v/>
      </c>
      <c r="AD41" s="123" t="str">
        <f t="shared" si="1"/>
        <v/>
      </c>
      <c r="AE41">
        <f t="shared" si="2"/>
        <v>29</v>
      </c>
      <c r="AH41" s="35"/>
    </row>
    <row r="42" spans="1:36">
      <c r="A42">
        <f t="shared" si="3"/>
        <v>4</v>
      </c>
      <c r="B42" s="99">
        <f>MIN(EDATE(B41,1),IF('HIDDEN Redemption'!$B$11="",Calculator!$C$48,'HIDDEN Redemption'!$B$11))</f>
        <v>119</v>
      </c>
      <c r="C42" s="40" t="str">
        <f>IFERROR(IF(OR(A42&gt;'Calculator Redemption'!$B$12,$A42&gt;$C$5),"",D41*$C$9/365*($B42-$B41)),"")</f>
        <v/>
      </c>
      <c r="D42" s="40" t="str">
        <f>IF(C42="","",D41+C42+IF(OR($A42=$C$5,$B42='HIDDEN Redemption'!$B$11),$D$31,0))</f>
        <v/>
      </c>
      <c r="E42" t="e">
        <f t="shared" si="4"/>
        <v>#N/A</v>
      </c>
      <c r="F42" s="99">
        <f>MIN(EDATE(F41,1),IF('HIDDEN Redemption'!$B$11="",Calculator!$C$48,'HIDDEN Redemption'!$B$11))</f>
        <v>119</v>
      </c>
      <c r="G42" s="40" t="str">
        <f>IFERROR(IF(OR(E42&gt;'Calculator Redemption'!$B$12,$E42&gt;$C$5),"",H41*$C$9/365*($F42-$F41)),"")</f>
        <v/>
      </c>
      <c r="H42" s="40" t="str">
        <f t="shared" si="5"/>
        <v/>
      </c>
      <c r="I42" t="e">
        <f t="shared" si="6"/>
        <v>#N/A</v>
      </c>
      <c r="J42" s="99">
        <f>MIN(EDATE(J41,1),IF('HIDDEN Redemption'!$B$11="",Calculator!$C$48,'HIDDEN Redemption'!$B$11))</f>
        <v>119</v>
      </c>
      <c r="K42" s="40" t="str">
        <f>IFERROR(IF(OR(I42&gt;'Calculator Redemption'!$B$12,$I42&gt;$C$5),"",L41*$C$9/365*($J42-$J41)),"")</f>
        <v/>
      </c>
      <c r="L42" s="40" t="str">
        <f t="shared" si="7"/>
        <v/>
      </c>
      <c r="M42" t="e">
        <f t="shared" si="8"/>
        <v>#N/A</v>
      </c>
      <c r="N42" s="99">
        <f>MIN(EDATE(N41,1),IF('HIDDEN Redemption'!$B$11="",Calculator!$C$48,'HIDDEN Redemption'!$B$11))</f>
        <v>119</v>
      </c>
      <c r="O42" s="40" t="str">
        <f>IFERROR(IF(OR(M42&gt;'Calculator Redemption'!$B$12,$M42&gt;$C$5),"",P41*$C$9/365*($N42-$N41)),"")</f>
        <v/>
      </c>
      <c r="P42" s="40" t="str">
        <f t="shared" si="9"/>
        <v/>
      </c>
      <c r="Q42" s="96" t="e">
        <f t="shared" si="0"/>
        <v>#N/A</v>
      </c>
      <c r="R42" s="40" t="str">
        <f>IF(OR(A42&gt;'HIDDEN Redemption'!$B$12,$A42&gt;$C$5),"",T41*$C$9/365*($B42-$B41))</f>
        <v/>
      </c>
      <c r="S42" s="89">
        <f>IF(OR(A42&gt;'HIDDEN Redemption'!$B$12,DAY($B42)&lt;&gt;DAY($B41)),0,S41)</f>
        <v>0</v>
      </c>
      <c r="T42" s="40" t="str">
        <f>IFERROR(T41+R42-S42+IF(OR($A42=$C$5,$A42='HIDDEN Redemption'!$B$12),$S$31,0),"")</f>
        <v/>
      </c>
      <c r="U42" s="40" t="e">
        <f>IF(OR(E42&gt;'HIDDEN Redemption'!$B$12,$E42&gt;$C$5),"",W41*$C$9/365*($F42-$F41))</f>
        <v>#N/A</v>
      </c>
      <c r="V42" s="89" t="e">
        <f>IF(OR(E42&gt;'HIDDEN Redemption'!$B$12,DAY($F42)&lt;&gt;DAY($F41)),0,V41)</f>
        <v>#N/A</v>
      </c>
      <c r="W42" s="40" t="str">
        <f t="shared" si="10"/>
        <v/>
      </c>
      <c r="X42" s="40" t="e">
        <f>IF(OR(I42&gt;'HIDDEN Redemption'!$B$12,$I42&gt;$C$5),"",Z41*$C$9/365*($J42-$J41))</f>
        <v>#N/A</v>
      </c>
      <c r="Y42" s="40" t="e">
        <f>IF(OR(I42&gt;'HIDDEN Redemption'!$B$12,DAY($J42)&lt;&gt;DAY($J41)),0,Y41)</f>
        <v>#N/A</v>
      </c>
      <c r="Z42" s="40" t="str">
        <f t="shared" si="11"/>
        <v/>
      </c>
      <c r="AA42" s="40" t="e">
        <f>IF(OR(M42&gt;'HIDDEN Redemption'!$B$12,$M42&gt;$C$5),"",AC41*$C$9/365*($N42-$N41))</f>
        <v>#N/A</v>
      </c>
      <c r="AB42" s="40" t="e">
        <f>IF(OR(M42&gt;'HIDDEN Redemption'!$B$12,DAY($N42)&lt;&gt;DAY($N41)),0,AB41)</f>
        <v>#N/A</v>
      </c>
      <c r="AC42" s="40" t="str">
        <f t="shared" si="12"/>
        <v/>
      </c>
      <c r="AD42" s="123" t="str">
        <f t="shared" si="1"/>
        <v/>
      </c>
      <c r="AE42">
        <f t="shared" si="2"/>
        <v>31</v>
      </c>
      <c r="AF42" s="12"/>
      <c r="AH42" s="12"/>
      <c r="AJ42" s="12"/>
    </row>
    <row r="43" spans="1:36">
      <c r="A43">
        <f t="shared" si="3"/>
        <v>5</v>
      </c>
      <c r="B43" s="99">
        <f>MIN(EDATE(B42,1),IF('HIDDEN Redemption'!$B$11="",Calculator!$C$48,'HIDDEN Redemption'!$B$11))</f>
        <v>149</v>
      </c>
      <c r="C43" s="40" t="str">
        <f>IFERROR(IF(OR(A43&gt;'Calculator Redemption'!$B$12,$A43&gt;$C$5),"",D42*$C$9/365*($B43-$B42)),"")</f>
        <v/>
      </c>
      <c r="D43" s="40" t="str">
        <f>IF(C43="","",D42+C43+IF(OR($A43=$C$5,$B43='HIDDEN Redemption'!$B$11),$D$31,0))</f>
        <v/>
      </c>
      <c r="E43" t="e">
        <f t="shared" si="4"/>
        <v>#N/A</v>
      </c>
      <c r="F43" s="99">
        <f>MIN(EDATE(F42,1),IF('HIDDEN Redemption'!$B$11="",Calculator!$C$48,'HIDDEN Redemption'!$B$11))</f>
        <v>149</v>
      </c>
      <c r="G43" s="40" t="str">
        <f>IFERROR(IF(OR(E43&gt;'Calculator Redemption'!$B$12,$E43&gt;$C$5),"",H42*$C$9/365*($F43-$F42)),"")</f>
        <v/>
      </c>
      <c r="H43" s="40" t="str">
        <f t="shared" si="5"/>
        <v/>
      </c>
      <c r="I43" t="e">
        <f t="shared" si="6"/>
        <v>#N/A</v>
      </c>
      <c r="J43" s="99">
        <f>MIN(EDATE(J42,1),IF('HIDDEN Redemption'!$B$11="",Calculator!$C$48,'HIDDEN Redemption'!$B$11))</f>
        <v>149</v>
      </c>
      <c r="K43" s="40" t="str">
        <f>IFERROR(IF(OR(I43&gt;'Calculator Redemption'!$B$12,$I43&gt;$C$5),"",L42*$C$9/365*($J43-$J42)),"")</f>
        <v/>
      </c>
      <c r="L43" s="40" t="str">
        <f t="shared" si="7"/>
        <v/>
      </c>
      <c r="M43" t="e">
        <f t="shared" si="8"/>
        <v>#N/A</v>
      </c>
      <c r="N43" s="99">
        <f>MIN(EDATE(N42,1),IF('HIDDEN Redemption'!$B$11="",Calculator!$C$48,'HIDDEN Redemption'!$B$11))</f>
        <v>149</v>
      </c>
      <c r="O43" s="40" t="str">
        <f>IFERROR(IF(OR(M43&gt;'Calculator Redemption'!$B$12,$M43&gt;$C$5),"",P42*$C$9/365*($N43-$N42)),"")</f>
        <v/>
      </c>
      <c r="P43" s="40" t="str">
        <f t="shared" si="9"/>
        <v/>
      </c>
      <c r="Q43" s="96" t="e">
        <f t="shared" si="0"/>
        <v>#N/A</v>
      </c>
      <c r="R43" s="40" t="str">
        <f>IF(OR(A43&gt;'HIDDEN Redemption'!$B$12,$A43&gt;$C$5),"",T42*$C$9/365*($B43-$B42))</f>
        <v/>
      </c>
      <c r="S43" s="89">
        <f>IF(OR(A43&gt;'HIDDEN Redemption'!$B$12,DAY($B43)&lt;&gt;DAY($B42)),0,S42)</f>
        <v>0</v>
      </c>
      <c r="T43" s="40" t="str">
        <f>IFERROR(T42+R43-S43+IF(OR($A43=$C$5,$A43='HIDDEN Redemption'!$B$12),$S$31,0),"")</f>
        <v/>
      </c>
      <c r="U43" s="40" t="e">
        <f>IF(OR(E43&gt;'HIDDEN Redemption'!$B$12,$E43&gt;$C$5),"",W42*$C$9/365*($F43-$F42))</f>
        <v>#N/A</v>
      </c>
      <c r="V43" s="89" t="e">
        <f>IF(OR(E43&gt;'HIDDEN Redemption'!$B$12,DAY($F43)&lt;&gt;DAY($F42)),0,V42)</f>
        <v>#N/A</v>
      </c>
      <c r="W43" s="40" t="str">
        <f t="shared" si="10"/>
        <v/>
      </c>
      <c r="X43" s="40" t="e">
        <f>IF(OR(I43&gt;'HIDDEN Redemption'!$B$12,$I43&gt;$C$5),"",Z42*$C$9/365*($J43-$J42))</f>
        <v>#N/A</v>
      </c>
      <c r="Y43" s="40" t="e">
        <f>IF(OR(I43&gt;'HIDDEN Redemption'!$B$12,DAY($J43)&lt;&gt;DAY($J42)),0,Y42)</f>
        <v>#N/A</v>
      </c>
      <c r="Z43" s="40" t="str">
        <f t="shared" si="11"/>
        <v/>
      </c>
      <c r="AA43" s="40" t="e">
        <f>IF(OR(M43&gt;'HIDDEN Redemption'!$B$12,$M43&gt;$C$5),"",AC42*$C$9/365*($N43-$N42))</f>
        <v>#N/A</v>
      </c>
      <c r="AB43" s="40" t="e">
        <f>IF(OR(M43&gt;'HIDDEN Redemption'!$B$12,DAY($N43)&lt;&gt;DAY($N42)),0,AB42)</f>
        <v>#N/A</v>
      </c>
      <c r="AC43" s="40" t="str">
        <f t="shared" si="12"/>
        <v/>
      </c>
      <c r="AD43" s="123" t="str">
        <f t="shared" si="1"/>
        <v/>
      </c>
      <c r="AE43">
        <f t="shared" si="2"/>
        <v>30</v>
      </c>
      <c r="AF43" s="35"/>
      <c r="AG43" s="122"/>
    </row>
    <row r="44" spans="1:36">
      <c r="A44">
        <f t="shared" si="3"/>
        <v>6</v>
      </c>
      <c r="B44" s="99">
        <f>MIN(EDATE(B43,1),IF('HIDDEN Redemption'!$B$11="",Calculator!$C$48,'HIDDEN Redemption'!$B$11))</f>
        <v>180</v>
      </c>
      <c r="C44" s="40" t="str">
        <f>IFERROR(IF(OR(A44&gt;'Calculator Redemption'!$B$12,$A44&gt;$C$5),"",D43*$C$9/365*($B44-$B43)),"")</f>
        <v/>
      </c>
      <c r="D44" s="40" t="str">
        <f>IF(C44="","",D43+C44+IF(OR($A44=$C$5,$B44='HIDDEN Redemption'!$B$11),$D$31,0))</f>
        <v/>
      </c>
      <c r="E44" t="e">
        <f t="shared" si="4"/>
        <v>#N/A</v>
      </c>
      <c r="F44" s="99">
        <f>MIN(EDATE(F43,1),IF('HIDDEN Redemption'!$B$11="",Calculator!$C$48,'HIDDEN Redemption'!$B$11))</f>
        <v>180</v>
      </c>
      <c r="G44" s="40" t="str">
        <f>IFERROR(IF(OR(E44&gt;'Calculator Redemption'!$B$12,$E44&gt;$C$5),"",H43*$C$9/365*($F44-$F43)),"")</f>
        <v/>
      </c>
      <c r="H44" s="40" t="str">
        <f t="shared" si="5"/>
        <v/>
      </c>
      <c r="I44" t="e">
        <f t="shared" si="6"/>
        <v>#N/A</v>
      </c>
      <c r="J44" s="99">
        <f>MIN(EDATE(J43,1),IF('HIDDEN Redemption'!$B$11="",Calculator!$C$48,'HIDDEN Redemption'!$B$11))</f>
        <v>180</v>
      </c>
      <c r="K44" s="40" t="str">
        <f>IFERROR(IF(OR(I44&gt;'Calculator Redemption'!$B$12,$I44&gt;$C$5),"",L43*$C$9/365*($J44-$J43)),"")</f>
        <v/>
      </c>
      <c r="L44" s="40" t="str">
        <f t="shared" si="7"/>
        <v/>
      </c>
      <c r="M44" t="e">
        <f t="shared" si="8"/>
        <v>#N/A</v>
      </c>
      <c r="N44" s="99">
        <f>MIN(EDATE(N43,1),IF('HIDDEN Redemption'!$B$11="",Calculator!$C$48,'HIDDEN Redemption'!$B$11))</f>
        <v>180</v>
      </c>
      <c r="O44" s="40" t="str">
        <f>IFERROR(IF(OR(M44&gt;'Calculator Redemption'!$B$12,$M44&gt;$C$5),"",P43*$C$9/365*($N44-$N43)),"")</f>
        <v/>
      </c>
      <c r="P44" s="40" t="str">
        <f t="shared" si="9"/>
        <v/>
      </c>
      <c r="Q44" s="96" t="e">
        <f t="shared" si="0"/>
        <v>#N/A</v>
      </c>
      <c r="R44" s="40" t="str">
        <f>IF(OR(A44&gt;'HIDDEN Redemption'!$B$12,$A44&gt;$C$5),"",T43*$C$9/365*($B44-$B43))</f>
        <v/>
      </c>
      <c r="S44" s="89">
        <f>IF(OR(A44&gt;'HIDDEN Redemption'!$B$12,DAY($B44)&lt;&gt;DAY($B43)),0,S43)</f>
        <v>0</v>
      </c>
      <c r="T44" s="40" t="str">
        <f>IFERROR(T43+R44-S44+IF(OR($A44=$C$5,$A44='HIDDEN Redemption'!$B$12),$S$31,0),"")</f>
        <v/>
      </c>
      <c r="U44" s="40" t="e">
        <f>IF(OR(E44&gt;'HIDDEN Redemption'!$B$12,$E44&gt;$C$5),"",W43*$C$9/365*($F44-$F43))</f>
        <v>#N/A</v>
      </c>
      <c r="V44" s="89" t="e">
        <f>IF(OR(E44&gt;'HIDDEN Redemption'!$B$12,DAY($F44)&lt;&gt;DAY($F43)),0,V43)</f>
        <v>#N/A</v>
      </c>
      <c r="W44" s="40" t="str">
        <f t="shared" si="10"/>
        <v/>
      </c>
      <c r="X44" s="40" t="e">
        <f>IF(OR(I44&gt;'HIDDEN Redemption'!$B$12,$I44&gt;$C$5),"",Z43*$C$9/365*($J44-$J43))</f>
        <v>#N/A</v>
      </c>
      <c r="Y44" s="40" t="e">
        <f>IF(OR(I44&gt;'HIDDEN Redemption'!$B$12,DAY($J44)&lt;&gt;DAY($J43)),0,Y43)</f>
        <v>#N/A</v>
      </c>
      <c r="Z44" s="40" t="str">
        <f t="shared" si="11"/>
        <v/>
      </c>
      <c r="AA44" s="40" t="e">
        <f>IF(OR(M44&gt;'HIDDEN Redemption'!$B$12,$M44&gt;$C$5),"",AC43*$C$9/365*($N44-$N43))</f>
        <v>#N/A</v>
      </c>
      <c r="AB44" s="40" t="e">
        <f>IF(OR(M44&gt;'HIDDEN Redemption'!$B$12,DAY($N44)&lt;&gt;DAY($N43)),0,AB43)</f>
        <v>#N/A</v>
      </c>
      <c r="AC44" s="40" t="str">
        <f t="shared" si="12"/>
        <v/>
      </c>
      <c r="AD44" s="123" t="str">
        <f t="shared" si="1"/>
        <v/>
      </c>
      <c r="AE44">
        <f t="shared" si="2"/>
        <v>31</v>
      </c>
    </row>
    <row r="45" spans="1:36">
      <c r="A45">
        <f t="shared" si="3"/>
        <v>7</v>
      </c>
      <c r="B45" s="99">
        <f>MIN(EDATE(B44,1),IF('HIDDEN Redemption'!$B$11="",Calculator!$C$48,'HIDDEN Redemption'!$B$11))</f>
        <v>210</v>
      </c>
      <c r="C45" s="40" t="str">
        <f>IFERROR(IF(OR(A45&gt;'Calculator Redemption'!$B$12,$A45&gt;$C$5),"",D44*$C$9/365*($B45-$B44)),"")</f>
        <v/>
      </c>
      <c r="D45" s="40" t="str">
        <f>IF(C45="","",D44+C45+IF(OR($A45=$C$5,$B45='HIDDEN Redemption'!$B$11),$D$31,0))</f>
        <v/>
      </c>
      <c r="E45" t="e">
        <f t="shared" si="4"/>
        <v>#N/A</v>
      </c>
      <c r="F45" s="99">
        <f>MIN(EDATE(F44,1),IF('HIDDEN Redemption'!$B$11="",Calculator!$C$48,'HIDDEN Redemption'!$B$11))</f>
        <v>210</v>
      </c>
      <c r="G45" s="40" t="str">
        <f>IFERROR(IF(OR(E45&gt;'Calculator Redemption'!$B$12,$E45&gt;$C$5),"",H44*$C$9/365*($F45-$F44)),"")</f>
        <v/>
      </c>
      <c r="H45" s="40" t="str">
        <f t="shared" si="5"/>
        <v/>
      </c>
      <c r="I45" t="e">
        <f t="shared" si="6"/>
        <v>#N/A</v>
      </c>
      <c r="J45" s="99">
        <f>MIN(EDATE(J44,1),IF('HIDDEN Redemption'!$B$11="",Calculator!$C$48,'HIDDEN Redemption'!$B$11))</f>
        <v>210</v>
      </c>
      <c r="K45" s="40" t="str">
        <f>IFERROR(IF(OR(I45&gt;'Calculator Redemption'!$B$12,$I45&gt;$C$5),"",L44*$C$9/365*($J45-$J44)),"")</f>
        <v/>
      </c>
      <c r="L45" s="40" t="str">
        <f t="shared" si="7"/>
        <v/>
      </c>
      <c r="M45" t="e">
        <f t="shared" si="8"/>
        <v>#N/A</v>
      </c>
      <c r="N45" s="99">
        <f>MIN(EDATE(N44,1),IF('HIDDEN Redemption'!$B$11="",Calculator!$C$48,'HIDDEN Redemption'!$B$11))</f>
        <v>210</v>
      </c>
      <c r="O45" s="40" t="str">
        <f>IFERROR(IF(OR(M45&gt;'Calculator Redemption'!$B$12,$M45&gt;$C$5),"",P44*$C$9/365*($N45-$N44)),"")</f>
        <v/>
      </c>
      <c r="P45" s="40" t="str">
        <f t="shared" si="9"/>
        <v/>
      </c>
      <c r="Q45" s="96" t="e">
        <f t="shared" si="0"/>
        <v>#N/A</v>
      </c>
      <c r="R45" s="40" t="str">
        <f>IF(OR(A45&gt;'HIDDEN Redemption'!$B$12,$A45&gt;$C$5),"",T44*$C$9/365*($B45-$B44))</f>
        <v/>
      </c>
      <c r="S45" s="89">
        <f>IF(OR(A45&gt;'HIDDEN Redemption'!$B$12,DAY($B45)&lt;&gt;DAY($B44)),0,S44)</f>
        <v>0</v>
      </c>
      <c r="T45" s="40" t="str">
        <f>IFERROR(T44+R45-S45+IF(OR($A45=$C$5,$A45='HIDDEN Redemption'!$B$12),$S$31,0),"")</f>
        <v/>
      </c>
      <c r="U45" s="40" t="e">
        <f>IF(OR(E45&gt;'HIDDEN Redemption'!$B$12,$E45&gt;$C$5),"",W44*$C$9/365*($F45-$F44))</f>
        <v>#N/A</v>
      </c>
      <c r="V45" s="89" t="e">
        <f>IF(OR(E45&gt;'HIDDEN Redemption'!$B$12,DAY($F45)&lt;&gt;DAY($F44)),0,V44)</f>
        <v>#N/A</v>
      </c>
      <c r="W45" s="40" t="str">
        <f t="shared" si="10"/>
        <v/>
      </c>
      <c r="X45" s="40" t="e">
        <f>IF(OR(I45&gt;'HIDDEN Redemption'!$B$12,$I45&gt;$C$5),"",Z44*$C$9/365*($J45-$J44))</f>
        <v>#N/A</v>
      </c>
      <c r="Y45" s="40" t="e">
        <f>IF(OR(I45&gt;'HIDDEN Redemption'!$B$12,DAY($J45)&lt;&gt;DAY($J44)),0,Y44)</f>
        <v>#N/A</v>
      </c>
      <c r="Z45" s="40" t="str">
        <f t="shared" si="11"/>
        <v/>
      </c>
      <c r="AA45" s="40" t="e">
        <f>IF(OR(M45&gt;'HIDDEN Redemption'!$B$12,$M45&gt;$C$5),"",AC44*$C$9/365*($N45-$N44))</f>
        <v>#N/A</v>
      </c>
      <c r="AB45" s="40" t="e">
        <f>IF(OR(M45&gt;'HIDDEN Redemption'!$B$12,DAY($N45)&lt;&gt;DAY($N44)),0,AB44)</f>
        <v>#N/A</v>
      </c>
      <c r="AC45" s="40" t="str">
        <f t="shared" si="12"/>
        <v/>
      </c>
      <c r="AD45" s="123" t="str">
        <f t="shared" si="1"/>
        <v/>
      </c>
      <c r="AE45">
        <f t="shared" si="2"/>
        <v>30</v>
      </c>
    </row>
    <row r="46" spans="1:36">
      <c r="A46">
        <f t="shared" si="3"/>
        <v>8</v>
      </c>
      <c r="B46" s="99">
        <f>MIN(EDATE(B45,1),IF('HIDDEN Redemption'!$B$11="",Calculator!$C$48,'HIDDEN Redemption'!$B$11))</f>
        <v>241</v>
      </c>
      <c r="C46" s="40" t="str">
        <f>IFERROR(IF(OR(A46&gt;'Calculator Redemption'!$B$12,$A46&gt;$C$5),"",D45*$C$9/365*($B46-$B45)),"")</f>
        <v/>
      </c>
      <c r="D46" s="40" t="str">
        <f>IF(OR(C46="",C46=0),"",D45+C46+IF(OR($A46=$C$5,$B46='HIDDEN Redemption'!$B$11),$D$31,0))</f>
        <v/>
      </c>
      <c r="E46" t="e">
        <f t="shared" si="4"/>
        <v>#N/A</v>
      </c>
      <c r="F46" s="99">
        <f>MIN(EDATE(F45,1),IF('HIDDEN Redemption'!$B$11="",Calculator!$C$48,'HIDDEN Redemption'!$B$11))</f>
        <v>241</v>
      </c>
      <c r="G46" s="40" t="str">
        <f>IFERROR(IF(OR(E46&gt;'Calculator Redemption'!$B$12,$E46&gt;$C$5),"",H45*$C$9/365*($F46-$F45)),"")</f>
        <v/>
      </c>
      <c r="H46" s="40" t="str">
        <f t="shared" si="5"/>
        <v/>
      </c>
      <c r="I46" t="e">
        <f t="shared" si="6"/>
        <v>#N/A</v>
      </c>
      <c r="J46" s="99">
        <f>MIN(EDATE(J45,1),IF('HIDDEN Redemption'!$B$11="",Calculator!$C$48,'HIDDEN Redemption'!$B$11))</f>
        <v>241</v>
      </c>
      <c r="K46" s="40" t="str">
        <f>IFERROR(IF(OR(I46&gt;'Calculator Redemption'!$B$12,$I46&gt;$C$5),"",L45*$C$9/365*($J46-$J45)),"")</f>
        <v/>
      </c>
      <c r="L46" s="40" t="str">
        <f t="shared" si="7"/>
        <v/>
      </c>
      <c r="M46" t="e">
        <f t="shared" si="8"/>
        <v>#N/A</v>
      </c>
      <c r="N46" s="99">
        <f>MIN(EDATE(N45,1),IF('HIDDEN Redemption'!$B$11="",Calculator!$C$48,'HIDDEN Redemption'!$B$11))</f>
        <v>241</v>
      </c>
      <c r="O46" s="40" t="str">
        <f>IFERROR(IF(OR(M46&gt;'Calculator Redemption'!$B$12,$M46&gt;$C$5),"",P45*$C$9/365*($N46-$N45)),"")</f>
        <v/>
      </c>
      <c r="P46" s="40" t="str">
        <f t="shared" si="9"/>
        <v/>
      </c>
      <c r="Q46" s="96" t="e">
        <f t="shared" si="0"/>
        <v>#N/A</v>
      </c>
      <c r="R46" s="40" t="str">
        <f>IF(OR(A46&gt;'HIDDEN Redemption'!$B$12,$A46&gt;$C$5),"",T45*$C$9/365*($B46-$B45))</f>
        <v/>
      </c>
      <c r="S46" s="89">
        <f>IF(OR(A46&gt;'HIDDEN Redemption'!$B$12,DAY($B46)&lt;&gt;DAY($B45)),0,S45)</f>
        <v>0</v>
      </c>
      <c r="T46" s="40" t="str">
        <f>IFERROR(T45+R46-S46+IF(OR($A46=$C$5,$A46='HIDDEN Redemption'!$B$12),$S$31,0),"")</f>
        <v/>
      </c>
      <c r="U46" s="40" t="e">
        <f>IF(OR(E46&gt;'HIDDEN Redemption'!$B$12,$E46&gt;$C$5),"",W45*$C$9/365*($F46-$F45))</f>
        <v>#N/A</v>
      </c>
      <c r="V46" s="89" t="e">
        <f>IF(OR(E46&gt;'HIDDEN Redemption'!$B$12,DAY($F46)&lt;&gt;DAY($F45)),0,V45)</f>
        <v>#N/A</v>
      </c>
      <c r="W46" s="40" t="str">
        <f t="shared" si="10"/>
        <v/>
      </c>
      <c r="X46" s="40" t="e">
        <f>IF(OR(I46&gt;'HIDDEN Redemption'!$B$12,$I46&gt;$C$5),"",Z45*$C$9/365*($J46-$J45))</f>
        <v>#N/A</v>
      </c>
      <c r="Y46" s="40" t="e">
        <f>IF(OR(I46&gt;'HIDDEN Redemption'!$B$12,DAY($J46)&lt;&gt;DAY($J45)),0,Y45)</f>
        <v>#N/A</v>
      </c>
      <c r="Z46" s="40" t="str">
        <f t="shared" si="11"/>
        <v/>
      </c>
      <c r="AA46" s="40" t="e">
        <f>IF(OR(M46&gt;'HIDDEN Redemption'!$B$12,$M46&gt;$C$5),"",AC45*$C$9/365*($N46-$N45))</f>
        <v>#N/A</v>
      </c>
      <c r="AB46" s="40" t="e">
        <f>IF(OR(M46&gt;'HIDDEN Redemption'!$B$12,DAY($N46)&lt;&gt;DAY($N45)),0,AB45)</f>
        <v>#N/A</v>
      </c>
      <c r="AC46" s="40" t="str">
        <f t="shared" si="12"/>
        <v/>
      </c>
      <c r="AD46" s="123" t="str">
        <f t="shared" si="1"/>
        <v/>
      </c>
      <c r="AE46">
        <f t="shared" si="2"/>
        <v>31</v>
      </c>
    </row>
    <row r="47" spans="1:36">
      <c r="A47">
        <f t="shared" si="3"/>
        <v>9</v>
      </c>
      <c r="B47" s="99">
        <f>MIN(EDATE(B46,1),IF('HIDDEN Redemption'!$B$11="",Calculator!$C$48,'HIDDEN Redemption'!$B$11))</f>
        <v>272</v>
      </c>
      <c r="C47" s="40" t="str">
        <f>IFERROR(IF(OR(A47&gt;'Calculator Redemption'!$B$12,$A47&gt;$C$5),"",D46*$C$9/365*($B47-$B46)),"")</f>
        <v/>
      </c>
      <c r="D47" s="40" t="str">
        <f>IF(OR(C47="",C47=0),"",D46+C47+IF(OR($A47=$C$5,$B47='HIDDEN Redemption'!$B$11),$D$31,0))</f>
        <v/>
      </c>
      <c r="E47" t="e">
        <f t="shared" si="4"/>
        <v>#N/A</v>
      </c>
      <c r="F47" s="99">
        <f>MIN(EDATE(F46,1),IF('HIDDEN Redemption'!$B$11="",Calculator!$C$48,'HIDDEN Redemption'!$B$11))</f>
        <v>272</v>
      </c>
      <c r="G47" s="40" t="str">
        <f>IFERROR(IF(OR(E47&gt;'Calculator Redemption'!$B$12,$E47&gt;$C$5),"",H46*$C$9/365*($F47-$F46)),"")</f>
        <v/>
      </c>
      <c r="H47" s="40" t="str">
        <f t="shared" si="5"/>
        <v/>
      </c>
      <c r="I47" t="e">
        <f t="shared" si="6"/>
        <v>#N/A</v>
      </c>
      <c r="J47" s="99">
        <f>MIN(EDATE(J46,1),IF('HIDDEN Redemption'!$B$11="",Calculator!$C$48,'HIDDEN Redemption'!$B$11))</f>
        <v>272</v>
      </c>
      <c r="K47" s="40" t="str">
        <f>IFERROR(IF(OR(I47&gt;'Calculator Redemption'!$B$12,$I47&gt;$C$5),"",L46*$C$9/365*($J47-$J46)),"")</f>
        <v/>
      </c>
      <c r="L47" s="40" t="str">
        <f t="shared" si="7"/>
        <v/>
      </c>
      <c r="M47" t="e">
        <f t="shared" si="8"/>
        <v>#N/A</v>
      </c>
      <c r="N47" s="99">
        <f>MIN(EDATE(N46,1),IF('HIDDEN Redemption'!$B$11="",Calculator!$C$48,'HIDDEN Redemption'!$B$11))</f>
        <v>272</v>
      </c>
      <c r="O47" s="40" t="str">
        <f>IFERROR(IF(OR(M47&gt;'Calculator Redemption'!$B$12,$M47&gt;$C$5),"",P46*$C$9/365*($N47-$N46)),"")</f>
        <v/>
      </c>
      <c r="P47" s="40" t="str">
        <f t="shared" si="9"/>
        <v/>
      </c>
      <c r="Q47" s="96" t="e">
        <f t="shared" si="0"/>
        <v>#N/A</v>
      </c>
      <c r="R47" s="40" t="str">
        <f>IF(OR(A47&gt;'HIDDEN Redemption'!$B$12,$A47&gt;$C$5),"",T46*$C$9/365*($B47-$B46))</f>
        <v/>
      </c>
      <c r="S47" s="89">
        <f>IF(OR(A47&gt;'HIDDEN Redemption'!$B$12,DAY($B47)&lt;&gt;DAY($B46)),0,S46)</f>
        <v>0</v>
      </c>
      <c r="T47" s="40" t="str">
        <f>IFERROR(T46+R47-S47+IF(OR($A47=$C$5,$A47='HIDDEN Redemption'!$B$12),$S$31,0),"")</f>
        <v/>
      </c>
      <c r="U47" s="40" t="e">
        <f>IF(OR(E47&gt;'HIDDEN Redemption'!$B$12,$E47&gt;$C$5),"",W46*$C$9/365*($F47-$F46))</f>
        <v>#N/A</v>
      </c>
      <c r="V47" s="89" t="e">
        <f>IF(OR(E47&gt;'HIDDEN Redemption'!$B$12,DAY($F47)&lt;&gt;DAY($F46)),0,V46)</f>
        <v>#N/A</v>
      </c>
      <c r="W47" s="40" t="str">
        <f t="shared" si="10"/>
        <v/>
      </c>
      <c r="X47" s="40" t="e">
        <f>IF(OR(I47&gt;'HIDDEN Redemption'!$B$12,$I47&gt;$C$5),"",Z46*$C$9/365*($J47-$J46))</f>
        <v>#N/A</v>
      </c>
      <c r="Y47" s="40" t="e">
        <f>IF(OR(I47&gt;'HIDDEN Redemption'!$B$12,DAY($J47)&lt;&gt;DAY($J46)),0,Y46)</f>
        <v>#N/A</v>
      </c>
      <c r="Z47" s="40" t="str">
        <f t="shared" si="11"/>
        <v/>
      </c>
      <c r="AA47" s="40" t="e">
        <f>IF(OR(M47&gt;'HIDDEN Redemption'!$B$12,$M47&gt;$C$5),"",AC46*$C$9/365*($N47-$N46))</f>
        <v>#N/A</v>
      </c>
      <c r="AB47" s="40" t="e">
        <f>IF(OR(M47&gt;'HIDDEN Redemption'!$B$12,DAY($N47)&lt;&gt;DAY($N46)),0,AB46)</f>
        <v>#N/A</v>
      </c>
      <c r="AC47" s="40" t="str">
        <f t="shared" si="12"/>
        <v/>
      </c>
      <c r="AD47" s="123" t="str">
        <f t="shared" si="1"/>
        <v/>
      </c>
      <c r="AE47">
        <f t="shared" si="2"/>
        <v>31</v>
      </c>
    </row>
    <row r="48" spans="1:36">
      <c r="A48">
        <f t="shared" si="3"/>
        <v>10</v>
      </c>
      <c r="B48" s="99">
        <f>MIN(EDATE(B47,1),IF('HIDDEN Redemption'!$B$11="",Calculator!$C$48,'HIDDEN Redemption'!$B$11))</f>
        <v>302</v>
      </c>
      <c r="C48" s="40" t="str">
        <f>IFERROR(IF(OR(A48&gt;'Calculator Redemption'!$B$12,$A48&gt;$C$5),"",D47*$C$9/365*($B48-$B47)),"")</f>
        <v/>
      </c>
      <c r="D48" s="40" t="str">
        <f>IF(OR(C48="",C48=0),"",D47+C48+IF(OR($A48=$C$5,$B48='HIDDEN Redemption'!$B$11),$D$31,0))</f>
        <v/>
      </c>
      <c r="E48" t="e">
        <f t="shared" si="4"/>
        <v>#N/A</v>
      </c>
      <c r="F48" s="99">
        <f>MIN(EDATE(F47,1),IF('HIDDEN Redemption'!$B$11="",Calculator!$C$48,'HIDDEN Redemption'!$B$11))</f>
        <v>302</v>
      </c>
      <c r="G48" s="40" t="str">
        <f>IFERROR(IF(OR(E48&gt;'Calculator Redemption'!$B$12,$E48&gt;$C$5),"",H47*$C$9/365*($F48-$F47)),"")</f>
        <v/>
      </c>
      <c r="H48" s="40" t="str">
        <f t="shared" si="5"/>
        <v/>
      </c>
      <c r="I48" t="e">
        <f t="shared" si="6"/>
        <v>#N/A</v>
      </c>
      <c r="J48" s="99">
        <f>MIN(EDATE(J47,1),IF('HIDDEN Redemption'!$B$11="",Calculator!$C$48,'HIDDEN Redemption'!$B$11))</f>
        <v>302</v>
      </c>
      <c r="K48" s="40" t="str">
        <f>IFERROR(IF(OR(I48&gt;'Calculator Redemption'!$B$12,$I48&gt;$C$5),"",L47*$C$9/365*($J48-$J47)),"")</f>
        <v/>
      </c>
      <c r="L48" s="40" t="str">
        <f t="shared" si="7"/>
        <v/>
      </c>
      <c r="M48" t="e">
        <f t="shared" si="8"/>
        <v>#N/A</v>
      </c>
      <c r="N48" s="99">
        <f>MIN(EDATE(N47,1),IF('HIDDEN Redemption'!$B$11="",Calculator!$C$48,'HIDDEN Redemption'!$B$11))</f>
        <v>302</v>
      </c>
      <c r="O48" s="40" t="str">
        <f>IFERROR(IF(OR(M48&gt;'Calculator Redemption'!$B$12,$M48&gt;$C$5),"",P47*$C$9/365*($N48-$N47)),"")</f>
        <v/>
      </c>
      <c r="P48" s="40" t="str">
        <f t="shared" si="9"/>
        <v/>
      </c>
      <c r="Q48" s="96" t="e">
        <f t="shared" si="0"/>
        <v>#N/A</v>
      </c>
      <c r="R48" s="40" t="str">
        <f>IF(OR(A48&gt;'HIDDEN Redemption'!$B$12,$A48&gt;$C$5),"",T47*$C$9/365*($B48-$B47))</f>
        <v/>
      </c>
      <c r="S48" s="89">
        <f>IF(OR(A48&gt;'HIDDEN Redemption'!$B$12,DAY($B48)&lt;&gt;DAY($B47)),0,S47)</f>
        <v>0</v>
      </c>
      <c r="T48" s="40" t="str">
        <f>IFERROR(T47+R48-S48+IF(OR($A48=$C$5,$A48='HIDDEN Redemption'!$B$12),$S$31,0),"")</f>
        <v/>
      </c>
      <c r="U48" s="40" t="e">
        <f>IF(OR(E48&gt;'HIDDEN Redemption'!$B$12,$E48&gt;$C$5),"",W47*$C$9/365*($F48-$F47))</f>
        <v>#N/A</v>
      </c>
      <c r="V48" s="89" t="e">
        <f>IF(OR(E48&gt;'HIDDEN Redemption'!$B$12,DAY($F48)&lt;&gt;DAY($F47)),0,V47)</f>
        <v>#N/A</v>
      </c>
      <c r="W48" s="40" t="str">
        <f t="shared" si="10"/>
        <v/>
      </c>
      <c r="X48" s="40" t="e">
        <f>IF(OR(I48&gt;'HIDDEN Redemption'!$B$12,$I48&gt;$C$5),"",Z47*$C$9/365*($J48-$J47))</f>
        <v>#N/A</v>
      </c>
      <c r="Y48" s="40" t="e">
        <f>IF(OR(I48&gt;'HIDDEN Redemption'!$B$12,DAY($J48)&lt;&gt;DAY($J47)),0,Y47)</f>
        <v>#N/A</v>
      </c>
      <c r="Z48" s="40" t="str">
        <f t="shared" si="11"/>
        <v/>
      </c>
      <c r="AA48" s="40" t="e">
        <f>IF(OR(M48&gt;'HIDDEN Redemption'!$B$12,$M48&gt;$C$5),"",AC47*$C$9/365*($N48-$N47))</f>
        <v>#N/A</v>
      </c>
      <c r="AB48" s="40" t="e">
        <f>IF(OR(M48&gt;'HIDDEN Redemption'!$B$12,DAY($N48)&lt;&gt;DAY($N47)),0,AB47)</f>
        <v>#N/A</v>
      </c>
      <c r="AC48" s="40" t="str">
        <f t="shared" si="12"/>
        <v/>
      </c>
      <c r="AD48" s="123" t="str">
        <f t="shared" si="1"/>
        <v/>
      </c>
      <c r="AE48">
        <f t="shared" si="2"/>
        <v>30</v>
      </c>
    </row>
    <row r="49" spans="1:34">
      <c r="A49">
        <f t="shared" si="3"/>
        <v>11</v>
      </c>
      <c r="B49" s="99">
        <f>MIN(EDATE(B48,1),IF('HIDDEN Redemption'!$B$11="",Calculator!$C$48,'HIDDEN Redemption'!$B$11))</f>
        <v>333</v>
      </c>
      <c r="C49" s="40" t="str">
        <f>IFERROR(IF(OR(A49&gt;'Calculator Redemption'!$B$12,$A49&gt;$C$5),"",D48*$C$9/365*($B49-$B48)),"")</f>
        <v/>
      </c>
      <c r="D49" s="40" t="str">
        <f>IF(OR(C49="",C49=0),"",D48+C49+IF(OR($A49=$C$5,$B49='HIDDEN Redemption'!$B$11),$D$31,0))</f>
        <v/>
      </c>
      <c r="E49" t="e">
        <f t="shared" si="4"/>
        <v>#N/A</v>
      </c>
      <c r="F49" s="99">
        <f>MIN(EDATE(F48,1),IF('HIDDEN Redemption'!$B$11="",Calculator!$C$48,'HIDDEN Redemption'!$B$11))</f>
        <v>333</v>
      </c>
      <c r="G49" s="40" t="str">
        <f>IFERROR(IF(OR(E49&gt;'Calculator Redemption'!$B$12,$E49&gt;$C$5),"",H48*$C$9/365*($F49-$F48)),"")</f>
        <v/>
      </c>
      <c r="H49" s="40" t="str">
        <f t="shared" si="5"/>
        <v/>
      </c>
      <c r="I49" t="e">
        <f t="shared" si="6"/>
        <v>#N/A</v>
      </c>
      <c r="J49" s="99">
        <f>MIN(EDATE(J48,1),IF('HIDDEN Redemption'!$B$11="",Calculator!$C$48,'HIDDEN Redemption'!$B$11))</f>
        <v>333</v>
      </c>
      <c r="K49" s="40" t="str">
        <f>IFERROR(IF(OR(I49&gt;'Calculator Redemption'!$B$12,$I49&gt;$C$5),"",L48*$C$9/365*($J49-$J48)),"")</f>
        <v/>
      </c>
      <c r="L49" s="40" t="str">
        <f>IF(K49="","",L48+K49)</f>
        <v/>
      </c>
      <c r="M49" t="e">
        <f t="shared" si="8"/>
        <v>#N/A</v>
      </c>
      <c r="N49" s="99">
        <f>MIN(EDATE(N48,1),IF('HIDDEN Redemption'!$B$11="",Calculator!$C$48,'HIDDEN Redemption'!$B$11))</f>
        <v>333</v>
      </c>
      <c r="O49" s="40" t="str">
        <f>IFERROR(IF(OR(M49&gt;'Calculator Redemption'!$B$12,$M49&gt;$C$5),"",P48*$C$9/365*($N49-$N48)),"")</f>
        <v/>
      </c>
      <c r="P49" s="40" t="str">
        <f>IF(O49="","",P48+O49)</f>
        <v/>
      </c>
      <c r="Q49" s="96" t="e">
        <f t="shared" si="0"/>
        <v>#N/A</v>
      </c>
      <c r="R49" s="40" t="str">
        <f>IF(OR(A49&gt;'HIDDEN Redemption'!$B$12,$A49&gt;$C$5),"",T48*$C$9/365*($B49-$B48))</f>
        <v/>
      </c>
      <c r="S49" s="89">
        <f>IF(OR(A49&gt;'HIDDEN Redemption'!$B$12,DAY($B49)&lt;&gt;DAY($B48)),0,S48)</f>
        <v>0</v>
      </c>
      <c r="T49" s="40" t="str">
        <f>IFERROR(T48+R49-S49+IF(OR($A49=$C$5,$A49='HIDDEN Redemption'!$B$12),$S$31,0),"")</f>
        <v/>
      </c>
      <c r="U49" s="40" t="e">
        <f>IF(OR(E49&gt;'HIDDEN Redemption'!$B$12,$E49&gt;$C$5),"",W48*$C$9/365*($F49-$F48))</f>
        <v>#N/A</v>
      </c>
      <c r="V49" s="89" t="e">
        <f>IF(OR(E49&gt;'HIDDEN Redemption'!$B$12,DAY($F49)&lt;&gt;DAY($F48)),0,V48)</f>
        <v>#N/A</v>
      </c>
      <c r="W49" s="40" t="str">
        <f t="shared" si="10"/>
        <v/>
      </c>
      <c r="X49" s="40" t="e">
        <f>IF(OR(I49&gt;'HIDDEN Redemption'!$B$12,$I49&gt;$C$5),"",Z48*$C$9/365*($J49-$J48))</f>
        <v>#N/A</v>
      </c>
      <c r="Y49" s="40" t="e">
        <f>IF(OR(I49&gt;'HIDDEN Redemption'!$B$12,DAY($J49)&lt;&gt;DAY($J48)),0,Y48)</f>
        <v>#N/A</v>
      </c>
      <c r="Z49" s="40" t="str">
        <f t="shared" si="11"/>
        <v/>
      </c>
      <c r="AA49" s="40" t="e">
        <f>IF(OR(M49&gt;'HIDDEN Redemption'!$B$12,$M49&gt;$C$5),"",AC48*$C$9/365*($N49-$N48))</f>
        <v>#N/A</v>
      </c>
      <c r="AB49" s="40" t="e">
        <f>IF(OR(M49&gt;'HIDDEN Redemption'!$B$12,DAY($N49)&lt;&gt;DAY($N48)),0,AB48)</f>
        <v>#N/A</v>
      </c>
      <c r="AC49" s="40" t="str">
        <f t="shared" si="12"/>
        <v/>
      </c>
      <c r="AD49" s="123" t="str">
        <f t="shared" si="1"/>
        <v/>
      </c>
      <c r="AE49">
        <f t="shared" si="2"/>
        <v>31</v>
      </c>
    </row>
    <row r="50" spans="1:34">
      <c r="A50">
        <f t="shared" si="3"/>
        <v>12</v>
      </c>
      <c r="B50" s="99">
        <f>MIN(EDATE(B49,1),IF('HIDDEN Redemption'!$B$11="",Calculator!$C$48,'HIDDEN Redemption'!$B$11))</f>
        <v>363</v>
      </c>
      <c r="C50" s="40" t="str">
        <f>IFERROR(IF(OR(A50&gt;'Calculator Redemption'!$B$12,$A50&gt;$C$5),"",D49*$C$9/365*($B50-$B49)),"")</f>
        <v/>
      </c>
      <c r="D50" s="40" t="str">
        <f>IF(OR(C50="",C50=0),"",D49+C50+IF(OR($A50=$C$5,$B50='HIDDEN Redemption'!$B$11),$D$31,0))</f>
        <v/>
      </c>
      <c r="E50" t="e">
        <f t="shared" si="4"/>
        <v>#N/A</v>
      </c>
      <c r="F50" s="99">
        <f>MIN(EDATE(F49,1),IF('HIDDEN Redemption'!$B$11="",Calculator!$C$48,'HIDDEN Redemption'!$B$11))</f>
        <v>363</v>
      </c>
      <c r="G50" s="40" t="str">
        <f>IFERROR(IF(OR(E50&gt;'Calculator Redemption'!$B$12,$E50&gt;$C$5),"",H49*$C$9/365*($F50-$F49)),"")</f>
        <v/>
      </c>
      <c r="H50" s="40" t="str">
        <f t="shared" si="5"/>
        <v/>
      </c>
      <c r="I50" t="e">
        <f t="shared" si="6"/>
        <v>#N/A</v>
      </c>
      <c r="J50" s="99">
        <f>MIN(EDATE(J49,1),IF('HIDDEN Redemption'!$B$11="",Calculator!$C$48,'HIDDEN Redemption'!$B$11))</f>
        <v>363</v>
      </c>
      <c r="K50" s="40" t="str">
        <f>IFERROR(IF(OR(I50&gt;'Calculator Redemption'!$B$12,$I50&gt;$C$5),"",L49*$C$9/365*($J50-$J49)),"")</f>
        <v/>
      </c>
      <c r="L50" s="40" t="str">
        <f>IF(K50="","",L49+K50)</f>
        <v/>
      </c>
      <c r="M50" t="e">
        <f t="shared" si="8"/>
        <v>#N/A</v>
      </c>
      <c r="N50" s="99">
        <f>MIN(EDATE(N49,1),IF('HIDDEN Redemption'!$B$11="",Calculator!$C$48,'HIDDEN Redemption'!$B$11))</f>
        <v>363</v>
      </c>
      <c r="O50" s="40" t="str">
        <f>IFERROR(IF(OR(M50&gt;'Calculator Redemption'!$B$12,$M50&gt;$C$5),"",P49*$C$9/365*($N50-$N49)),"")</f>
        <v/>
      </c>
      <c r="P50" s="40" t="str">
        <f>IF(O50="","",P49+O50)</f>
        <v/>
      </c>
      <c r="Q50" s="96" t="e">
        <f t="shared" si="0"/>
        <v>#N/A</v>
      </c>
      <c r="R50" s="40" t="str">
        <f>IF(OR(A50&gt;'HIDDEN Redemption'!$B$12,$A50&gt;$C$5),"",T49*$C$9/365*($B50-$B49))</f>
        <v/>
      </c>
      <c r="S50" s="89">
        <f>IF(OR(A50&gt;'HIDDEN Redemption'!$B$12,DAY($B50)&lt;&gt;DAY($B49)),0,S49)</f>
        <v>0</v>
      </c>
      <c r="T50" s="40" t="str">
        <f>IFERROR(T49+R50-S50+IF(OR($A50=$C$5,$A50='HIDDEN Redemption'!$B$12),$S$31,0),"")</f>
        <v/>
      </c>
      <c r="U50" s="40" t="e">
        <f>IF(OR(E50&gt;'HIDDEN Redemption'!$B$12,$E50&gt;$C$5),"",W49*$C$9/365*($F50-$F49))</f>
        <v>#N/A</v>
      </c>
      <c r="V50" s="89" t="e">
        <f>IF(OR(E50&gt;'HIDDEN Redemption'!$B$12,DAY($F50)&lt;&gt;DAY($F49)),0,V49)</f>
        <v>#N/A</v>
      </c>
      <c r="W50" s="40" t="str">
        <f t="shared" si="10"/>
        <v/>
      </c>
      <c r="X50" s="40" t="e">
        <f>IF(OR(I50&gt;'HIDDEN Redemption'!$B$12,$I50&gt;$C$5),"",Z49*$C$9/365*($J50-$J49))</f>
        <v>#N/A</v>
      </c>
      <c r="Y50" s="40" t="e">
        <f>IF(OR(I50&gt;'HIDDEN Redemption'!$B$12,DAY($J50)&lt;&gt;DAY($J49)),0,Y49)</f>
        <v>#N/A</v>
      </c>
      <c r="Z50" s="40" t="str">
        <f t="shared" si="11"/>
        <v/>
      </c>
      <c r="AA50" s="40" t="e">
        <f>IF(OR(M50&gt;'HIDDEN Redemption'!$B$12,$M50&gt;$C$5),"",AC49*$C$9/365*($N50-$N49))</f>
        <v>#N/A</v>
      </c>
      <c r="AB50" s="40" t="e">
        <f>IF(OR(M50&gt;'HIDDEN Redemption'!$B$12,DAY($N50)&lt;&gt;DAY($N49)),0,AB49)</f>
        <v>#N/A</v>
      </c>
      <c r="AC50" s="40" t="str">
        <f t="shared" si="12"/>
        <v/>
      </c>
      <c r="AD50" s="123" t="str">
        <f t="shared" si="1"/>
        <v/>
      </c>
      <c r="AE50">
        <f t="shared" si="2"/>
        <v>30</v>
      </c>
      <c r="AH50" s="124"/>
    </row>
    <row r="51" spans="1:34">
      <c r="A51">
        <f t="shared" si="3"/>
        <v>13</v>
      </c>
      <c r="B51" s="99">
        <f>MIN(EDATE(B50,1),IF('HIDDEN Redemption'!$B$11="",Calculator!$C$48,'HIDDEN Redemption'!$B$11))</f>
        <v>394</v>
      </c>
      <c r="C51" s="40" t="str">
        <f>IFERROR(IF(OR(A51&gt;'Calculator Redemption'!$B$12,$A51&gt;$C$5),"",D50*$C$9/365*($B51-$B50)),"")</f>
        <v/>
      </c>
      <c r="D51" s="40" t="str">
        <f>IF(OR(C51="",C51=0),"",D50+C51+IF(OR($A51=$C$5,$B51='HIDDEN Redemption'!$B$11),$D$31,0))</f>
        <v/>
      </c>
      <c r="E51" t="e">
        <f t="shared" si="4"/>
        <v>#N/A</v>
      </c>
      <c r="F51" s="99">
        <f>MIN(EDATE(F50,1),IF('HIDDEN Redemption'!$B$11="",Calculator!$C$48,'HIDDEN Redemption'!$B$11))</f>
        <v>394</v>
      </c>
      <c r="G51" s="40" t="str">
        <f>IFERROR(IF(OR(E51&gt;'Calculator Redemption'!$B$12,$E51&gt;$C$5),"",H50*$C$9/365*($F51-$F50)),"")</f>
        <v/>
      </c>
      <c r="H51" s="40" t="str">
        <f t="shared" si="5"/>
        <v/>
      </c>
      <c r="I51" t="e">
        <f t="shared" si="6"/>
        <v>#N/A</v>
      </c>
      <c r="J51" s="99">
        <f>MIN(EDATE(J50,1),IF('HIDDEN Redemption'!$B$11="",Calculator!$C$48,'HIDDEN Redemption'!$B$11))</f>
        <v>394</v>
      </c>
      <c r="K51" s="40" t="str">
        <f>IFERROR(IF(OR(I51&gt;'Calculator Redemption'!$B$12,$I51&gt;$C$5),"",L50*$C$9/365*($J51-$J50)),"")</f>
        <v/>
      </c>
      <c r="L51" s="40" t="str">
        <f t="shared" ref="L51:L62" si="13">IF(K51="","",L50+K51)</f>
        <v/>
      </c>
      <c r="M51" t="e">
        <f t="shared" si="8"/>
        <v>#N/A</v>
      </c>
      <c r="N51" s="99">
        <f>MIN(EDATE(N50,1),IF('HIDDEN Redemption'!$B$11="",Calculator!$C$48,'HIDDEN Redemption'!$B$11))</f>
        <v>394</v>
      </c>
      <c r="O51" s="40" t="str">
        <f>IFERROR(IF(OR(M51&gt;'Calculator Redemption'!$B$12,$M51&gt;$C$5),"",P50*$C$9/365*($N51-$N50)),"")</f>
        <v/>
      </c>
      <c r="P51" s="40" t="str">
        <f t="shared" ref="P51:P62" si="14">IF(O51="","",P50+O51)</f>
        <v/>
      </c>
      <c r="Q51" s="96" t="e">
        <f t="shared" si="0"/>
        <v>#N/A</v>
      </c>
      <c r="R51" s="40" t="str">
        <f>IF(OR(A51&gt;'HIDDEN Redemption'!$B$12,$A51&gt;$C$5),"",T50*$C$9/365*($B51-$B50))</f>
        <v/>
      </c>
      <c r="S51" s="89">
        <f>IF(OR(A51&gt;'HIDDEN Redemption'!$B$12,DAY($B51)&lt;&gt;DAY($B50)),0,S50)</f>
        <v>0</v>
      </c>
      <c r="T51" s="40" t="str">
        <f>IFERROR(T50+R51-S51+IF(OR($A51=$C$5,$A51='HIDDEN Redemption'!$B$12),$S$31,0),"")</f>
        <v/>
      </c>
      <c r="U51" s="40" t="e">
        <f>IF(OR(E51&gt;'HIDDEN Redemption'!$B$12,$E51&gt;$C$5),"",W50*$C$9/365*($F51-$F50))</f>
        <v>#N/A</v>
      </c>
      <c r="V51" s="89" t="e">
        <f>IF(OR(E51&gt;'HIDDEN Redemption'!$B$12,DAY($F51)&lt;&gt;DAY($F50)),0,V50)</f>
        <v>#N/A</v>
      </c>
      <c r="W51" s="40" t="str">
        <f t="shared" si="10"/>
        <v/>
      </c>
      <c r="X51" s="40" t="e">
        <f>IF(OR(I51&gt;'HIDDEN Redemption'!$B$12,$I51&gt;$C$5),"",Z50*$C$9/365*($J51-$J50))</f>
        <v>#N/A</v>
      </c>
      <c r="Y51" s="40" t="e">
        <f>IF(OR(I51&gt;'HIDDEN Redemption'!$B$12,DAY($J51)&lt;&gt;DAY($J50)),0,Y50)</f>
        <v>#N/A</v>
      </c>
      <c r="Z51" s="40" t="str">
        <f t="shared" si="11"/>
        <v/>
      </c>
      <c r="AA51" s="40" t="e">
        <f>IF(OR(M51&gt;'HIDDEN Redemption'!$B$12,$M51&gt;$C$5),"",AC50*$C$9/365*($N51-$N50))</f>
        <v>#N/A</v>
      </c>
      <c r="AB51" s="40" t="e">
        <f>IF(OR(M51&gt;'HIDDEN Redemption'!$B$12,DAY($N51)&lt;&gt;DAY($N50)),0,AB50)</f>
        <v>#N/A</v>
      </c>
      <c r="AC51" s="40" t="str">
        <f t="shared" si="12"/>
        <v/>
      </c>
      <c r="AD51" s="123" t="str">
        <f t="shared" si="1"/>
        <v/>
      </c>
      <c r="AH51" s="124"/>
    </row>
    <row r="52" spans="1:34">
      <c r="A52">
        <f t="shared" si="3"/>
        <v>14</v>
      </c>
      <c r="B52" s="99">
        <f>MIN(EDATE(B51,1),IF('HIDDEN Redemption'!$B$11="",Calculator!$C$48,'HIDDEN Redemption'!$B$11))</f>
        <v>425</v>
      </c>
      <c r="C52" s="40" t="str">
        <f>IFERROR(IF(OR(A52&gt;'Calculator Redemption'!$B$12,$A52&gt;$C$5),"",D51*$C$9/365*($B52-$B51)),"")</f>
        <v/>
      </c>
      <c r="D52" s="40" t="str">
        <f>IF(OR(C52="",C52=0),"",D51+C52+IF(OR($A52=$C$5,$B52='HIDDEN Redemption'!$B$11),$D$31,0))</f>
        <v/>
      </c>
      <c r="E52" t="e">
        <f t="shared" si="4"/>
        <v>#N/A</v>
      </c>
      <c r="F52" s="99">
        <f>MIN(EDATE(F51,1),IF('HIDDEN Redemption'!$B$11="",Calculator!$C$48,'HIDDEN Redemption'!$B$11))</f>
        <v>425</v>
      </c>
      <c r="G52" s="40" t="str">
        <f>IFERROR(IF(OR(E52&gt;'Calculator Redemption'!$B$12,$E52&gt;$C$5),"",H51*$C$9/365*($F52-$F51)),"")</f>
        <v/>
      </c>
      <c r="H52" s="40" t="str">
        <f t="shared" si="5"/>
        <v/>
      </c>
      <c r="I52" t="e">
        <f t="shared" si="6"/>
        <v>#N/A</v>
      </c>
      <c r="J52" s="99">
        <f>MIN(EDATE(J51,1),IF('HIDDEN Redemption'!$B$11="",Calculator!$C$48,'HIDDEN Redemption'!$B$11))</f>
        <v>425</v>
      </c>
      <c r="K52" s="40" t="str">
        <f>IFERROR(IF(OR(I52&gt;'Calculator Redemption'!$B$12,$I52&gt;$C$5),"",L51*$C$9/365*($J52-$J51)),"")</f>
        <v/>
      </c>
      <c r="L52" s="40" t="str">
        <f t="shared" si="13"/>
        <v/>
      </c>
      <c r="M52" t="e">
        <f t="shared" si="8"/>
        <v>#N/A</v>
      </c>
      <c r="N52" s="99">
        <f>MIN(EDATE(N51,1),IF('HIDDEN Redemption'!$B$11="",Calculator!$C$48,'HIDDEN Redemption'!$B$11))</f>
        <v>425</v>
      </c>
      <c r="O52" s="40" t="str">
        <f>IFERROR(IF(OR(M52&gt;'Calculator Redemption'!$B$12,$M52&gt;$C$5),"",P51*$C$9/365*($N52-$N51)),"")</f>
        <v/>
      </c>
      <c r="P52" s="40" t="str">
        <f t="shared" si="14"/>
        <v/>
      </c>
      <c r="Q52" s="96" t="e">
        <f t="shared" si="0"/>
        <v>#N/A</v>
      </c>
      <c r="R52" s="40" t="str">
        <f>IF(OR(A52&gt;'HIDDEN Redemption'!$B$12,$A52&gt;$C$5),"",T51*$C$9/365*($B52-$B51))</f>
        <v/>
      </c>
      <c r="S52" s="89">
        <f>IF(OR(A52&gt;'HIDDEN Redemption'!$B$12,DAY($B52)&lt;&gt;DAY($B51)),0,S51)</f>
        <v>0</v>
      </c>
      <c r="T52" s="40" t="str">
        <f>IFERROR(T51+R52-S52+IF(OR($A52=$C$5,$A52='HIDDEN Redemption'!$B$12),$S$31,0),"")</f>
        <v/>
      </c>
      <c r="U52" s="40" t="e">
        <f>IF(OR(E52&gt;'HIDDEN Redemption'!$B$12,$E52&gt;$C$5),"",W51*$C$9/365*($F52-$F51))</f>
        <v>#N/A</v>
      </c>
      <c r="V52" s="89" t="e">
        <f>IF(OR(E52&gt;'HIDDEN Redemption'!$B$12,DAY($F52)&lt;&gt;DAY($F51)),0,V51)</f>
        <v>#N/A</v>
      </c>
      <c r="W52" s="40" t="str">
        <f t="shared" si="10"/>
        <v/>
      </c>
      <c r="X52" s="40" t="e">
        <f>IF(OR(I52&gt;'HIDDEN Redemption'!$B$12,$I52&gt;$C$5),"",Z51*$C$9/365*($J52-$J51))</f>
        <v>#N/A</v>
      </c>
      <c r="Y52" s="40" t="e">
        <f>IF(OR(I52&gt;'HIDDEN Redemption'!$B$12,DAY($J52)&lt;&gt;DAY($J51)),0,Y51)</f>
        <v>#N/A</v>
      </c>
      <c r="Z52" s="40" t="str">
        <f t="shared" si="11"/>
        <v/>
      </c>
      <c r="AA52" s="40" t="e">
        <f>IF(OR(M52&gt;'HIDDEN Redemption'!$B$12,$M52&gt;$C$5),"",AC51*$C$9/365*($N52-$N51))</f>
        <v>#N/A</v>
      </c>
      <c r="AB52" s="40" t="e">
        <f>IF(OR(M52&gt;'HIDDEN Redemption'!$B$12,DAY($N52)&lt;&gt;DAY($N51)),0,AB51)</f>
        <v>#N/A</v>
      </c>
      <c r="AC52" s="40" t="str">
        <f t="shared" si="12"/>
        <v/>
      </c>
      <c r="AD52" s="123" t="str">
        <f t="shared" si="1"/>
        <v/>
      </c>
    </row>
    <row r="53" spans="1:34">
      <c r="A53">
        <f t="shared" si="3"/>
        <v>15</v>
      </c>
      <c r="B53" s="99">
        <f>MIN(EDATE(B52,1),IF('HIDDEN Redemption'!$B$11="",Calculator!$C$48,'HIDDEN Redemption'!$B$11))</f>
        <v>453</v>
      </c>
      <c r="C53" s="40" t="str">
        <f>IFERROR(IF(OR(A53&gt;'Calculator Redemption'!$B$12,$A53&gt;$C$5),"",D52*$C$9/365*($B53-$B52)),"")</f>
        <v/>
      </c>
      <c r="D53" s="40" t="str">
        <f>IF(OR(C53="",C53=0),"",D52+C53+IF(OR($A53=$C$5,$B53='HIDDEN Redemption'!$B$11),$D$31,0))</f>
        <v/>
      </c>
      <c r="E53" t="e">
        <f t="shared" si="4"/>
        <v>#N/A</v>
      </c>
      <c r="F53" s="99">
        <f>MIN(EDATE(F52,1),IF('HIDDEN Redemption'!$B$11="",Calculator!$C$48,'HIDDEN Redemption'!$B$11))</f>
        <v>453</v>
      </c>
      <c r="G53" s="40" t="str">
        <f>IFERROR(IF(OR(E53&gt;'Calculator Redemption'!$B$12,$E53&gt;$C$5),"",H52*$C$9/365*($F53-$F52)),"")</f>
        <v/>
      </c>
      <c r="H53" s="40" t="str">
        <f t="shared" si="5"/>
        <v/>
      </c>
      <c r="I53" t="e">
        <f t="shared" si="6"/>
        <v>#N/A</v>
      </c>
      <c r="J53" s="99">
        <f>MIN(EDATE(J52,1),IF('HIDDEN Redemption'!$B$11="",Calculator!$C$48,'HIDDEN Redemption'!$B$11))</f>
        <v>453</v>
      </c>
      <c r="K53" s="40" t="str">
        <f>IFERROR(IF(OR(I53&gt;'Calculator Redemption'!$B$12,$I53&gt;$C$5),"",L52*$C$9/365*($J53-$J52)),"")</f>
        <v/>
      </c>
      <c r="L53" s="40" t="str">
        <f t="shared" si="13"/>
        <v/>
      </c>
      <c r="M53" t="e">
        <f t="shared" si="8"/>
        <v>#N/A</v>
      </c>
      <c r="N53" s="99">
        <f>MIN(EDATE(N52,1),IF('HIDDEN Redemption'!$B$11="",Calculator!$C$48,'HIDDEN Redemption'!$B$11))</f>
        <v>453</v>
      </c>
      <c r="O53" s="40" t="str">
        <f>IFERROR(IF(OR(M53&gt;'Calculator Redemption'!$B$12,$M53&gt;$C$5),"",P52*$C$9/365*($N53-$N52)),"")</f>
        <v/>
      </c>
      <c r="P53" s="40" t="str">
        <f t="shared" si="14"/>
        <v/>
      </c>
      <c r="Q53" s="96" t="e">
        <f t="shared" si="0"/>
        <v>#N/A</v>
      </c>
      <c r="R53" s="40" t="str">
        <f>IF(OR(A53&gt;'HIDDEN Redemption'!$B$12,$A53&gt;$C$5),"",T52*$C$9/365*($B53-$B52))</f>
        <v/>
      </c>
      <c r="S53" s="89">
        <f>IF(OR(A53&gt;'HIDDEN Redemption'!$B$12,DAY($B53)&lt;&gt;DAY($B52)),0,S52)</f>
        <v>0</v>
      </c>
      <c r="T53" s="40" t="str">
        <f>IFERROR(T52+R53-S53+IF(OR($A53=$C$5,$A53='HIDDEN Redemption'!$B$12),$S$31,0),"")</f>
        <v/>
      </c>
      <c r="U53" s="40" t="e">
        <f>IF(OR(E53&gt;'HIDDEN Redemption'!$B$12,$E53&gt;$C$5),"",W52*$C$9/365*($F53-$F52))</f>
        <v>#N/A</v>
      </c>
      <c r="V53" s="89" t="e">
        <f>IF(OR(E53&gt;'HIDDEN Redemption'!$B$12,DAY($F53)&lt;&gt;DAY($F52)),0,V52)</f>
        <v>#N/A</v>
      </c>
      <c r="W53" s="40" t="str">
        <f t="shared" si="10"/>
        <v/>
      </c>
      <c r="X53" s="40" t="e">
        <f>IF(OR(I53&gt;'HIDDEN Redemption'!$B$12,$I53&gt;$C$5),"",Z52*$C$9/365*($J53-$J52))</f>
        <v>#N/A</v>
      </c>
      <c r="Y53" s="40" t="e">
        <f>IF(OR(I53&gt;'HIDDEN Redemption'!$B$12,DAY($J53)&lt;&gt;DAY($J52)),0,Y52)</f>
        <v>#N/A</v>
      </c>
      <c r="Z53" s="40" t="str">
        <f t="shared" si="11"/>
        <v/>
      </c>
      <c r="AA53" s="40" t="e">
        <f>IF(OR(M53&gt;'HIDDEN Redemption'!$B$12,$M53&gt;$C$5),"",AC52*$C$9/365*($N53-$N52))</f>
        <v>#N/A</v>
      </c>
      <c r="AB53" s="40" t="e">
        <f>IF(OR(M53&gt;'HIDDEN Redemption'!$B$12,DAY($N53)&lt;&gt;DAY($N52)),0,AB52)</f>
        <v>#N/A</v>
      </c>
      <c r="AC53" s="40" t="str">
        <f t="shared" si="12"/>
        <v/>
      </c>
      <c r="AD53" s="123" t="str">
        <f t="shared" si="1"/>
        <v/>
      </c>
      <c r="AG53" s="12"/>
    </row>
    <row r="54" spans="1:34">
      <c r="A54">
        <f t="shared" si="3"/>
        <v>16</v>
      </c>
      <c r="B54" s="99">
        <f>MIN(EDATE(B53,1),IF('HIDDEN Redemption'!$B$11="",Calculator!$C$48,'HIDDEN Redemption'!$B$11))</f>
        <v>484</v>
      </c>
      <c r="C54" s="40" t="str">
        <f>IFERROR(IF(OR(A54&gt;'Calculator Redemption'!$B$12,$A54&gt;$C$5),"",D53*$C$9/365*($B54-$B53)),"")</f>
        <v/>
      </c>
      <c r="D54" s="40" t="str">
        <f>IF(OR(C54="",C54=0),"",D53+C54+IF(OR($A54=$C$5,$B54='HIDDEN Redemption'!$B$11),$D$31,0))</f>
        <v/>
      </c>
      <c r="E54" t="e">
        <f t="shared" si="4"/>
        <v>#N/A</v>
      </c>
      <c r="F54" s="99">
        <f>MIN(EDATE(F53,1),IF('HIDDEN Redemption'!$B$11="",Calculator!$C$48,'HIDDEN Redemption'!$B$11))</f>
        <v>484</v>
      </c>
      <c r="G54" s="40" t="str">
        <f>IFERROR(IF(OR(E54&gt;'Calculator Redemption'!$B$12,$E54&gt;$C$5),"",H53*$C$9/365*($F54-$F53)),"")</f>
        <v/>
      </c>
      <c r="H54" s="40" t="str">
        <f t="shared" si="5"/>
        <v/>
      </c>
      <c r="I54" t="e">
        <f t="shared" si="6"/>
        <v>#N/A</v>
      </c>
      <c r="J54" s="99">
        <f>MIN(EDATE(J53,1),IF('HIDDEN Redemption'!$B$11="",Calculator!$C$48,'HIDDEN Redemption'!$B$11))</f>
        <v>484</v>
      </c>
      <c r="K54" s="40" t="str">
        <f>IFERROR(IF(OR(I54&gt;'Calculator Redemption'!$B$12,$I54&gt;$C$5),"",L53*$C$9/365*($J54-$J53)),"")</f>
        <v/>
      </c>
      <c r="L54" s="40" t="str">
        <f t="shared" si="13"/>
        <v/>
      </c>
      <c r="M54" t="e">
        <f t="shared" si="8"/>
        <v>#N/A</v>
      </c>
      <c r="N54" s="99">
        <f>MIN(EDATE(N53,1),IF('HIDDEN Redemption'!$B$11="",Calculator!$C$48,'HIDDEN Redemption'!$B$11))</f>
        <v>484</v>
      </c>
      <c r="O54" s="40" t="str">
        <f>IFERROR(IF(OR(M54&gt;'Calculator Redemption'!$B$12,$M54&gt;$C$5),"",P53*$C$9/365*($N54-$N53)),"")</f>
        <v/>
      </c>
      <c r="P54" s="40" t="str">
        <f t="shared" si="14"/>
        <v/>
      </c>
      <c r="Q54" s="96" t="e">
        <f t="shared" si="0"/>
        <v>#N/A</v>
      </c>
      <c r="R54" s="40" t="str">
        <f>IF(OR(A54&gt;'HIDDEN Redemption'!$B$12,$A54&gt;$C$5),"",T53*$C$9/365*($B54-$B53))</f>
        <v/>
      </c>
      <c r="S54" s="89">
        <f>IF(OR(A54&gt;'HIDDEN Redemption'!$B$12,DAY($B54)&lt;&gt;DAY($B53)),0,S53)</f>
        <v>0</v>
      </c>
      <c r="T54" s="40" t="str">
        <f>IFERROR(T53+R54-S54+IF(OR($A54=$C$5,$A54='HIDDEN Redemption'!$B$12),$S$31,0),"")</f>
        <v/>
      </c>
      <c r="U54" s="40" t="e">
        <f>IF(OR(E54&gt;'HIDDEN Redemption'!$B$12,$E54&gt;$C$5),"",W53*$C$9/365*($F54-$F53))</f>
        <v>#N/A</v>
      </c>
      <c r="V54" s="89" t="e">
        <f>IF(OR(E54&gt;'HIDDEN Redemption'!$B$12,DAY($F54)&lt;&gt;DAY($F53)),0,V53)</f>
        <v>#N/A</v>
      </c>
      <c r="W54" s="40" t="str">
        <f t="shared" si="10"/>
        <v/>
      </c>
      <c r="X54" s="40" t="e">
        <f>IF(OR(I54&gt;'HIDDEN Redemption'!$B$12,$I54&gt;$C$5),"",Z53*$C$9/365*($J54-$J53))</f>
        <v>#N/A</v>
      </c>
      <c r="Y54" s="40" t="e">
        <f>IF(OR(I54&gt;'HIDDEN Redemption'!$B$12,DAY($J54)&lt;&gt;DAY($J53)),0,Y53)</f>
        <v>#N/A</v>
      </c>
      <c r="Z54" s="40" t="str">
        <f t="shared" si="11"/>
        <v/>
      </c>
      <c r="AA54" s="40" t="e">
        <f>IF(OR(M54&gt;'HIDDEN Redemption'!$B$12,$M54&gt;$C$5),"",AC53*$C$9/365*($N54-$N53))</f>
        <v>#N/A</v>
      </c>
      <c r="AB54" s="40" t="e">
        <f>IF(OR(M54&gt;'HIDDEN Redemption'!$B$12,DAY($N54)&lt;&gt;DAY($N53)),0,AB53)</f>
        <v>#N/A</v>
      </c>
      <c r="AC54" s="40" t="str">
        <f t="shared" si="12"/>
        <v/>
      </c>
      <c r="AD54" s="123" t="str">
        <f t="shared" si="1"/>
        <v/>
      </c>
      <c r="AG54" s="41"/>
    </row>
    <row r="55" spans="1:34">
      <c r="A55">
        <f t="shared" si="3"/>
        <v>17</v>
      </c>
      <c r="B55" s="99">
        <f>MIN(EDATE(B54,1),IF('HIDDEN Redemption'!$B$11="",Calculator!$C$48,'HIDDEN Redemption'!$B$11))</f>
        <v>514</v>
      </c>
      <c r="C55" s="40" t="str">
        <f>IFERROR(IF(OR(A55&gt;'Calculator Redemption'!$B$12,$A55&gt;$C$5),"",D54*$C$9/365*($B55-$B54)),"")</f>
        <v/>
      </c>
      <c r="D55" s="40" t="str">
        <f>IF(OR(C55="",C55=0),"",D54+C55+IF(OR($A55=$C$5,$B55='HIDDEN Redemption'!$B$11),$D$31,0))</f>
        <v/>
      </c>
      <c r="E55" t="e">
        <f t="shared" si="4"/>
        <v>#N/A</v>
      </c>
      <c r="F55" s="99">
        <f>MIN(EDATE(F54,1),IF('HIDDEN Redemption'!$B$11="",Calculator!$C$48,'HIDDEN Redemption'!$B$11))</f>
        <v>514</v>
      </c>
      <c r="G55" s="40" t="str">
        <f>IFERROR(IF(OR(E55&gt;'Calculator Redemption'!$B$12,$E55&gt;$C$5),"",H54*$C$9/365*($F55-$F54)),"")</f>
        <v/>
      </c>
      <c r="H55" s="40" t="str">
        <f t="shared" si="5"/>
        <v/>
      </c>
      <c r="I55" t="e">
        <f t="shared" si="6"/>
        <v>#N/A</v>
      </c>
      <c r="J55" s="99">
        <f>MIN(EDATE(J54,1),IF('HIDDEN Redemption'!$B$11="",Calculator!$C$48,'HIDDEN Redemption'!$B$11))</f>
        <v>514</v>
      </c>
      <c r="K55" s="40" t="str">
        <f>IFERROR(IF(OR(I55&gt;'Calculator Redemption'!$B$12,$I55&gt;$C$5),"",L54*$C$9/365*($J55-$J54)),"")</f>
        <v/>
      </c>
      <c r="L55" s="40" t="str">
        <f t="shared" si="13"/>
        <v/>
      </c>
      <c r="M55" t="e">
        <f t="shared" si="8"/>
        <v>#N/A</v>
      </c>
      <c r="N55" s="99">
        <f>MIN(EDATE(N54,1),IF('HIDDEN Redemption'!$B$11="",Calculator!$C$48,'HIDDEN Redemption'!$B$11))</f>
        <v>514</v>
      </c>
      <c r="O55" s="40" t="str">
        <f>IFERROR(IF(OR(M55&gt;'Calculator Redemption'!$B$12,$M55&gt;$C$5),"",P54*$C$9/365*($N55-$N54)),"")</f>
        <v/>
      </c>
      <c r="P55" s="40" t="str">
        <f t="shared" si="14"/>
        <v/>
      </c>
      <c r="Q55" s="96" t="e">
        <f t="shared" si="0"/>
        <v>#N/A</v>
      </c>
      <c r="R55" s="40" t="str">
        <f>IF(OR(A55&gt;'HIDDEN Redemption'!$B$12,$A55&gt;$C$5),"",T54*$C$9/365*($B55-$B54))</f>
        <v/>
      </c>
      <c r="S55" s="89">
        <f>IF(OR(A55&gt;'HIDDEN Redemption'!$B$12,DAY($B55)&lt;&gt;DAY($B54)),0,S54)</f>
        <v>0</v>
      </c>
      <c r="T55" s="40" t="str">
        <f>IFERROR(T54+R55-S55+IF(OR($A55=$C$5,$A55='HIDDEN Redemption'!$B$12),$S$31,0),"")</f>
        <v/>
      </c>
      <c r="U55" s="40" t="e">
        <f>IF(OR(E55&gt;'HIDDEN Redemption'!$B$12,$E55&gt;$C$5),"",W54*$C$9/365*($F55-$F54))</f>
        <v>#N/A</v>
      </c>
      <c r="V55" s="89" t="e">
        <f>IF(OR(E55&gt;'HIDDEN Redemption'!$B$12,DAY($F55)&lt;&gt;DAY($F54)),0,V54)</f>
        <v>#N/A</v>
      </c>
      <c r="W55" s="40" t="str">
        <f t="shared" si="10"/>
        <v/>
      </c>
      <c r="X55" s="40" t="e">
        <f>IF(OR(I55&gt;'HIDDEN Redemption'!$B$12,$I55&gt;$C$5),"",Z54*$C$9/365*($J55-$J54))</f>
        <v>#N/A</v>
      </c>
      <c r="Y55" s="40" t="e">
        <f>IF(OR(I55&gt;'HIDDEN Redemption'!$B$12,DAY($J55)&lt;&gt;DAY($J54)),0,Y54)</f>
        <v>#N/A</v>
      </c>
      <c r="Z55" s="40" t="str">
        <f t="shared" si="11"/>
        <v/>
      </c>
      <c r="AA55" s="40" t="e">
        <f>IF(OR(M55&gt;'HIDDEN Redemption'!$B$12,$M55&gt;$C$5),"",AC54*$C$9/365*($N55-$N54))</f>
        <v>#N/A</v>
      </c>
      <c r="AB55" s="40" t="e">
        <f>IF(OR(M55&gt;'HIDDEN Redemption'!$B$12,DAY($N55)&lt;&gt;DAY($N54)),0,AB54)</f>
        <v>#N/A</v>
      </c>
      <c r="AC55" s="40" t="str">
        <f t="shared" si="12"/>
        <v/>
      </c>
      <c r="AD55" s="123" t="str">
        <f t="shared" si="1"/>
        <v/>
      </c>
    </row>
    <row r="56" spans="1:34">
      <c r="A56">
        <f t="shared" si="3"/>
        <v>18</v>
      </c>
      <c r="B56" s="99">
        <f>MIN(EDATE(B55,1),IF('HIDDEN Redemption'!$B$11="",Calculator!$C$48,'HIDDEN Redemption'!$B$11))</f>
        <v>545</v>
      </c>
      <c r="C56" s="40" t="str">
        <f>IFERROR(IF(OR(A56&gt;'Calculator Redemption'!$B$12,$A56&gt;$C$5),"",D55*$C$9/365*($B56-$B55)),"")</f>
        <v/>
      </c>
      <c r="D56" s="40" t="str">
        <f>IF(OR(C56="",C56=0),"",D55+C56+IF(OR($A56=$C$5,$B56='HIDDEN Redemption'!$B$11),$D$31,0))</f>
        <v/>
      </c>
      <c r="E56" t="e">
        <f t="shared" si="4"/>
        <v>#N/A</v>
      </c>
      <c r="F56" s="99">
        <f>MIN(EDATE(F55,1),IF('HIDDEN Redemption'!$B$11="",Calculator!$C$48,'HIDDEN Redemption'!$B$11))</f>
        <v>545</v>
      </c>
      <c r="G56" s="40" t="str">
        <f>IFERROR(IF(OR(E56&gt;'Calculator Redemption'!$B$12,$E56&gt;$C$5),"",H55*$C$9/365*($F56-$F55)),"")</f>
        <v/>
      </c>
      <c r="H56" s="40" t="str">
        <f t="shared" si="5"/>
        <v/>
      </c>
      <c r="I56" t="e">
        <f t="shared" si="6"/>
        <v>#N/A</v>
      </c>
      <c r="J56" s="99">
        <f>MIN(EDATE(J55,1),IF('HIDDEN Redemption'!$B$11="",Calculator!$C$48,'HIDDEN Redemption'!$B$11))</f>
        <v>545</v>
      </c>
      <c r="K56" s="40" t="str">
        <f>IFERROR(IF(OR(I56&gt;'Calculator Redemption'!$B$12,$I56&gt;$C$5),"",L55*$C$9/365*($J56-$J55)),"")</f>
        <v/>
      </c>
      <c r="L56" s="40" t="str">
        <f t="shared" si="13"/>
        <v/>
      </c>
      <c r="M56" t="e">
        <f t="shared" si="8"/>
        <v>#N/A</v>
      </c>
      <c r="N56" s="99">
        <f>MIN(EDATE(N55,1),IF('HIDDEN Redemption'!$B$11="",Calculator!$C$48,'HIDDEN Redemption'!$B$11))</f>
        <v>545</v>
      </c>
      <c r="O56" s="40" t="str">
        <f>IFERROR(IF(OR(M56&gt;'Calculator Redemption'!$B$12,$M56&gt;$C$5),"",P55*$C$9/365*($N56-$N55)),"")</f>
        <v/>
      </c>
      <c r="P56" s="40" t="str">
        <f t="shared" si="14"/>
        <v/>
      </c>
      <c r="Q56" s="96" t="e">
        <f>IF(A56=$C$5,SUM(D56,_xlfn.XLOOKUP($C$5,$I$39:$I$56,$L$39:$L$56,0,0,1),_xlfn.XLOOKUP($C$5,$E$39:$E$56,$H$39:$H$56,0,0,1),_xlfn.XLOOKUP($C$5,$M$39:$M$56,$P$39:$P$56,0,0,1)),SUM(IF(AND($H$30&gt;0,$E$39=A56),-$H$29,IF(AND($L$30&gt;0,$I$39=A56),-$L$29,IF(AND($P$30&gt;0,$M$39=A56),-$P$29,0)))))</f>
        <v>#N/A</v>
      </c>
      <c r="R56" s="40" t="str">
        <f>IF(OR(A56&gt;'HIDDEN Redemption'!$B$12,$A56&gt;$C$5),"",T55*$C$9/365*($B56-$B55))</f>
        <v/>
      </c>
      <c r="S56" s="89">
        <f>IF(OR(A56&gt;'HIDDEN Redemption'!$B$12,DAY($B56)&lt;&gt;DAY($B55)),0,S55)</f>
        <v>0</v>
      </c>
      <c r="T56" s="40" t="str">
        <f>IFERROR(T55+R56-S56+IF(OR($A56=$C$5,$A56='HIDDEN Redemption'!$B$12),$S$31,0),"")</f>
        <v/>
      </c>
      <c r="U56" s="40" t="e">
        <f>IF(OR(E56&gt;'HIDDEN Redemption'!$B$12,$E56&gt;$C$5),"",W55*$C$9/365*($F56-$F55))</f>
        <v>#N/A</v>
      </c>
      <c r="V56" s="89" t="e">
        <f>IF(OR(E56&gt;'HIDDEN Redemption'!$B$12,DAY($F56)&lt;&gt;DAY($F55)),0,V55)</f>
        <v>#N/A</v>
      </c>
      <c r="W56" s="40" t="str">
        <f t="shared" si="10"/>
        <v/>
      </c>
      <c r="X56" s="40" t="e">
        <f>IF(OR(I56&gt;'HIDDEN Redemption'!$B$12,$I56&gt;$C$5),"",Z55*$C$9/365*($J56-$J55))</f>
        <v>#N/A</v>
      </c>
      <c r="Y56" s="40" t="e">
        <f>IF(OR(I56&gt;'HIDDEN Redemption'!$B$12,DAY($J56)&lt;&gt;DAY($J55)),0,Y55)</f>
        <v>#N/A</v>
      </c>
      <c r="Z56" s="40" t="str">
        <f t="shared" si="11"/>
        <v/>
      </c>
      <c r="AA56" s="40" t="e">
        <f>IF(OR(M56&gt;'HIDDEN Redemption'!$B$12,$M56&gt;$C$5),"",AC55*$C$9/365*($N56-$N55))</f>
        <v>#N/A</v>
      </c>
      <c r="AB56" s="40" t="e">
        <f>IF(OR(M56&gt;'HIDDEN Redemption'!$B$12,DAY($N56)&lt;&gt;DAY($N55)),0,AB55)</f>
        <v>#N/A</v>
      </c>
      <c r="AC56" s="40" t="str">
        <f t="shared" si="12"/>
        <v/>
      </c>
      <c r="AD56" s="123" t="str">
        <f t="shared" si="1"/>
        <v/>
      </c>
    </row>
    <row r="57" spans="1:34">
      <c r="A57">
        <f t="shared" si="3"/>
        <v>19</v>
      </c>
      <c r="B57" s="99">
        <f>MIN(EDATE(B56,1),IF('HIDDEN Redemption'!$B$11="",Calculator!$C$48,'HIDDEN Redemption'!$B$11))</f>
        <v>575</v>
      </c>
      <c r="C57" s="40" t="str">
        <f>IFERROR(IF(OR(A57&gt;'Calculator Redemption'!$B$12,$A57&gt;$C$5),"",D56*$C$9/365*($B57-$B56)),"")</f>
        <v/>
      </c>
      <c r="D57" s="40" t="str">
        <f>IF(OR(C57="",C57=0),"",D56+C57+IF(OR($A57=$C$5,$B57='HIDDEN Redemption'!$B$11),$D$31,0))</f>
        <v/>
      </c>
      <c r="E57" t="e">
        <f t="shared" si="4"/>
        <v>#N/A</v>
      </c>
      <c r="F57" s="99">
        <f>MIN(EDATE(F56,1),IF('HIDDEN Redemption'!$B$11="",Calculator!$C$48,'HIDDEN Redemption'!$B$11))</f>
        <v>575</v>
      </c>
      <c r="G57" s="40" t="str">
        <f>IFERROR(IF(OR(E57&gt;'Calculator Redemption'!$B$12,$E57&gt;$C$5),"",H56*$C$9/365*($F57-$F56)),"")</f>
        <v/>
      </c>
      <c r="H57" s="40" t="str">
        <f t="shared" si="5"/>
        <v/>
      </c>
      <c r="I57" t="e">
        <f t="shared" si="6"/>
        <v>#N/A</v>
      </c>
      <c r="J57" s="99">
        <f>MIN(EDATE(J56,1),IF('HIDDEN Redemption'!$B$11="",Calculator!$C$48,'HIDDEN Redemption'!$B$11))</f>
        <v>575</v>
      </c>
      <c r="K57" s="40" t="str">
        <f>IFERROR(IF(OR(I57&gt;'Calculator Redemption'!$B$12,$I57&gt;$C$5),"",L56*$C$9/365*($J57-$J56)),"")</f>
        <v/>
      </c>
      <c r="L57" s="40" t="str">
        <f t="shared" si="13"/>
        <v/>
      </c>
      <c r="M57" t="e">
        <f t="shared" si="8"/>
        <v>#N/A</v>
      </c>
      <c r="N57" s="99">
        <f>MIN(EDATE(N56,1),IF('HIDDEN Redemption'!$B$11="",Calculator!$C$48,'HIDDEN Redemption'!$B$11))</f>
        <v>575</v>
      </c>
      <c r="O57" s="40" t="str">
        <f>IFERROR(IF(OR(M57&gt;'Calculator Redemption'!$B$12,$M57&gt;$C$5),"",P56*$C$9/365*($N57-$N56)),"")</f>
        <v/>
      </c>
      <c r="P57" s="40" t="str">
        <f t="shared" si="14"/>
        <v/>
      </c>
      <c r="Q57" s="96" t="e">
        <f>IF(A57=$C$5,SUM(D57,_xlfn.XLOOKUP($C$5,$I$39:$I$56,$L$39:$L$56,0,0,1),_xlfn.XLOOKUP($C$5,$E$39:$E$56,$H$39:$H$56,0,0,1),_xlfn.XLOOKUP($C$5,$M$39:$M$56,$P$39:$P$56,0,0,1)),SUM(IF(AND($H$30&gt;0,$E$39=A57),-$H$29,IF(AND($L$30&gt;0,$I$39=A57),-$L$29,IF(AND($P$30&gt;0,$M$39=A57),-$P$29,0)))))</f>
        <v>#N/A</v>
      </c>
      <c r="R57" s="40" t="str">
        <f>IF(OR(A57&gt;'HIDDEN Redemption'!$B$12,$A57&gt;$C$5),"",T56*$C$9/365*($B57-$B56))</f>
        <v/>
      </c>
      <c r="S57" s="89">
        <f>IF(OR(A57&gt;'HIDDEN Redemption'!$B$12,DAY($B57)&lt;&gt;DAY($B56)),0,S56)</f>
        <v>0</v>
      </c>
      <c r="T57" s="40" t="str">
        <f>IFERROR(T56+R57-S57+IF(OR($A57=$C$5,$A57='HIDDEN Redemption'!$B$12),$S$31,0),"")</f>
        <v/>
      </c>
      <c r="U57" s="40" t="e">
        <f>IF(OR(E57&gt;'HIDDEN Redemption'!$B$12,$E57&gt;$C$5),"",W56*$C$9/365*($F57-$F56))</f>
        <v>#N/A</v>
      </c>
      <c r="V57" s="89" t="e">
        <f>IF(OR(E57&gt;'HIDDEN Redemption'!$B$12,DAY($F57)&lt;&gt;DAY($F56)),0,V56)</f>
        <v>#N/A</v>
      </c>
      <c r="W57" s="40" t="str">
        <f t="shared" si="10"/>
        <v/>
      </c>
      <c r="X57" s="40" t="e">
        <f>IF(OR(I57&gt;'HIDDEN Redemption'!$B$12,$I57&gt;$C$5),"",Z56*$C$9/365*($J57-$J56))</f>
        <v>#N/A</v>
      </c>
      <c r="Y57" s="40" t="e">
        <f>IF(OR(I57&gt;'HIDDEN Redemption'!$B$12,DAY($J57)&lt;&gt;DAY($J56)),0,Y56)</f>
        <v>#N/A</v>
      </c>
      <c r="Z57" s="40" t="str">
        <f t="shared" si="11"/>
        <v/>
      </c>
      <c r="AA57" s="40" t="e">
        <f>IF(OR(M57&gt;'HIDDEN Redemption'!$B$12,$M57&gt;$C$5),"",AC56*$C$9/365*($N57-$N56))</f>
        <v>#N/A</v>
      </c>
      <c r="AB57" s="40" t="e">
        <f>IF(OR(M57&gt;'HIDDEN Redemption'!$B$12,DAY($N57)&lt;&gt;DAY($N56)),0,AB56)</f>
        <v>#N/A</v>
      </c>
      <c r="AC57" s="40" t="str">
        <f t="shared" si="12"/>
        <v/>
      </c>
      <c r="AD57" s="123" t="str">
        <f t="shared" si="1"/>
        <v/>
      </c>
    </row>
    <row r="58" spans="1:34">
      <c r="A58">
        <f t="shared" si="3"/>
        <v>20</v>
      </c>
      <c r="B58" s="99">
        <f>MIN(EDATE(B57,1),IF('HIDDEN Redemption'!$B$11="",Calculator!$C$48,'HIDDEN Redemption'!$B$11))</f>
        <v>606</v>
      </c>
      <c r="C58" s="40" t="str">
        <f>IFERROR(IF(OR(A58&gt;'Calculator Redemption'!$B$12,$A58&gt;$C$5),"",D57*$C$9/365*($B58-$B57)),"")</f>
        <v/>
      </c>
      <c r="D58" s="40" t="str">
        <f>IF(OR(C58="",C58=0),"",D57+C58+IF(OR($A58=$C$5,$B58='HIDDEN Redemption'!$B$11),$D$31,0))</f>
        <v/>
      </c>
      <c r="E58" t="e">
        <f t="shared" si="4"/>
        <v>#N/A</v>
      </c>
      <c r="F58" s="99">
        <f>MIN(EDATE(F57,1),IF('HIDDEN Redemption'!$B$11="",Calculator!$C$48,'HIDDEN Redemption'!$B$11))</f>
        <v>606</v>
      </c>
      <c r="G58" s="40" t="str">
        <f>IFERROR(IF(OR(E58&gt;'Calculator Redemption'!$B$12,$E58&gt;$C$5),"",H57*$C$9/365*($F58-$F57)),"")</f>
        <v/>
      </c>
      <c r="H58" s="40" t="str">
        <f t="shared" si="5"/>
        <v/>
      </c>
      <c r="I58" t="e">
        <f t="shared" si="6"/>
        <v>#N/A</v>
      </c>
      <c r="J58" s="99">
        <f>MIN(EDATE(J57,1),IF('HIDDEN Redemption'!$B$11="",Calculator!$C$48,'HIDDEN Redemption'!$B$11))</f>
        <v>606</v>
      </c>
      <c r="K58" s="40" t="str">
        <f>IFERROR(IF(OR(I58&gt;'Calculator Redemption'!$B$12,$I58&gt;$C$5),"",L57*$C$9/365*($J58-$J57)),"")</f>
        <v/>
      </c>
      <c r="L58" s="40" t="str">
        <f t="shared" si="13"/>
        <v/>
      </c>
      <c r="M58" t="e">
        <f t="shared" si="8"/>
        <v>#N/A</v>
      </c>
      <c r="N58" s="99">
        <f>MIN(EDATE(N57,1),IF('HIDDEN Redemption'!$B$11="",Calculator!$C$48,'HIDDEN Redemption'!$B$11))</f>
        <v>606</v>
      </c>
      <c r="O58" s="40" t="str">
        <f>IFERROR(IF(OR(M58&gt;'Calculator Redemption'!$B$12,$M58&gt;$C$5),"",P57*$C$9/365*($N58-$N57)),"")</f>
        <v/>
      </c>
      <c r="P58" s="40" t="str">
        <f t="shared" si="14"/>
        <v/>
      </c>
      <c r="Q58" s="96" t="e">
        <f t="shared" ref="Q58:Q62" si="15">IF(A58=$C$5,SUM(D58,_xlfn.XLOOKUP($C$5,$I$39:$I$56,$L$39:$L$56,0,0,1),_xlfn.XLOOKUP($C$5,$E$39:$E$56,$H$39:$H$56,0,0,1),_xlfn.XLOOKUP($C$5,$M$39:$M$56,$P$39:$P$56,0,0,1)),SUM(IF(AND($H$30&gt;0,$E$39=A58),-$H$29,IF(AND($L$30&gt;0,$I$39=A58),-$L$29,IF(AND($P$30&gt;0,$M$39=A58),-$P$29,0)))))</f>
        <v>#N/A</v>
      </c>
      <c r="R58" s="40" t="str">
        <f>IF(OR(A58&gt;'HIDDEN Redemption'!$B$12,$A58&gt;$C$5),"",T57*$C$9/365*($B58-$B57))</f>
        <v/>
      </c>
      <c r="S58" s="89">
        <f>IF(OR(A58&gt;'HIDDEN Redemption'!$B$12,DAY($B58)&lt;&gt;DAY($B57)),0,S57)</f>
        <v>0</v>
      </c>
      <c r="T58" s="40" t="str">
        <f>IFERROR(T57+R58-S58+IF(OR($A58=$C$5,$A58='HIDDEN Redemption'!$B$12),$S$31,0),"")</f>
        <v/>
      </c>
      <c r="U58" s="40" t="e">
        <f>IF(OR(E58&gt;'HIDDEN Redemption'!$B$12,$E58&gt;$C$5),"",W57*$C$9/365*($F58-$F57))</f>
        <v>#N/A</v>
      </c>
      <c r="V58" s="89" t="e">
        <f>IF(OR(E58&gt;'HIDDEN Redemption'!$B$12,DAY($F58)&lt;&gt;DAY($F57)),0,V57)</f>
        <v>#N/A</v>
      </c>
      <c r="W58" s="40" t="str">
        <f t="shared" si="10"/>
        <v/>
      </c>
      <c r="X58" s="40" t="e">
        <f>IF(OR(I58&gt;'HIDDEN Redemption'!$B$12,$I58&gt;$C$5),"",Z57*$C$9/365*($J58-$J57))</f>
        <v>#N/A</v>
      </c>
      <c r="Y58" s="40" t="e">
        <f>IF(OR(I58&gt;'HIDDEN Redemption'!$B$12,DAY($J58)&lt;&gt;DAY($J57)),0,Y57)</f>
        <v>#N/A</v>
      </c>
      <c r="Z58" s="40" t="str">
        <f t="shared" si="11"/>
        <v/>
      </c>
      <c r="AA58" s="40" t="e">
        <f>IF(OR(M58&gt;'HIDDEN Redemption'!$B$12,$M58&gt;$C$5),"",AC57*$C$9/365*($N58-$N57))</f>
        <v>#N/A</v>
      </c>
      <c r="AB58" s="40" t="e">
        <f>IF(OR(M58&gt;'HIDDEN Redemption'!$B$12,DAY($N58)&lt;&gt;DAY($N57)),0,AB57)</f>
        <v>#N/A</v>
      </c>
      <c r="AC58" s="40" t="str">
        <f t="shared" si="12"/>
        <v/>
      </c>
      <c r="AD58" s="123" t="str">
        <f t="shared" si="1"/>
        <v/>
      </c>
    </row>
    <row r="59" spans="1:34">
      <c r="A59">
        <f t="shared" si="3"/>
        <v>21</v>
      </c>
      <c r="B59" s="99">
        <f>MIN(EDATE(B58,1),IF('HIDDEN Redemption'!$B$11="",Calculator!$C$48,'HIDDEN Redemption'!$B$11))</f>
        <v>637</v>
      </c>
      <c r="C59" s="40" t="str">
        <f>IFERROR(IF(OR(A59&gt;'Calculator Redemption'!$B$12,$A59&gt;$C$5),"",D58*$C$9/365*($B59-$B58)),"")</f>
        <v/>
      </c>
      <c r="D59" s="40" t="str">
        <f>IF(OR(C59="",C59=0),"",D58+C59+IF(OR($A59=$C$5,$B59='HIDDEN Redemption'!$B$11),$D$31,0))</f>
        <v/>
      </c>
      <c r="E59" t="e">
        <f t="shared" si="4"/>
        <v>#N/A</v>
      </c>
      <c r="F59" s="99">
        <f>MIN(EDATE(F58,1),IF('HIDDEN Redemption'!$B$11="",Calculator!$C$48,'HIDDEN Redemption'!$B$11))</f>
        <v>637</v>
      </c>
      <c r="G59" s="40" t="str">
        <f>IFERROR(IF(OR(E59&gt;'Calculator Redemption'!$B$12,$E59&gt;$C$5),"",H58*$C$9/365*($F59-$F58)),"")</f>
        <v/>
      </c>
      <c r="H59" s="40" t="str">
        <f t="shared" si="5"/>
        <v/>
      </c>
      <c r="I59" t="e">
        <f t="shared" si="6"/>
        <v>#N/A</v>
      </c>
      <c r="J59" s="99">
        <f>MIN(EDATE(J58,1),IF('HIDDEN Redemption'!$B$11="",Calculator!$C$48,'HIDDEN Redemption'!$B$11))</f>
        <v>637</v>
      </c>
      <c r="K59" s="40" t="str">
        <f>IFERROR(IF(OR(I59&gt;'Calculator Redemption'!$B$12,$I59&gt;$C$5),"",L58*$C$9/365*($J59-$J58)),"")</f>
        <v/>
      </c>
      <c r="L59" s="40" t="str">
        <f t="shared" si="13"/>
        <v/>
      </c>
      <c r="M59" t="e">
        <f t="shared" si="8"/>
        <v>#N/A</v>
      </c>
      <c r="N59" s="99">
        <f>MIN(EDATE(N58,1),IF('HIDDEN Redemption'!$B$11="",Calculator!$C$48,'HIDDEN Redemption'!$B$11))</f>
        <v>637</v>
      </c>
      <c r="O59" s="40" t="str">
        <f>IFERROR(IF(OR(M59&gt;'Calculator Redemption'!$B$12,$M59&gt;$C$5),"",P58*$C$9/365*($N59-$N58)),"")</f>
        <v/>
      </c>
      <c r="P59" s="40" t="str">
        <f t="shared" si="14"/>
        <v/>
      </c>
      <c r="Q59" s="96" t="e">
        <f t="shared" si="15"/>
        <v>#N/A</v>
      </c>
      <c r="R59" s="40" t="str">
        <f>IF(OR(A59&gt;'HIDDEN Redemption'!$B$12,$A59&gt;$C$5),"",T58*$C$9/365*($B59-$B58))</f>
        <v/>
      </c>
      <c r="S59" s="89">
        <f>IF(OR(A59&gt;'HIDDEN Redemption'!$B$12,DAY($B59)&lt;&gt;DAY($B58)),0,S58)</f>
        <v>0</v>
      </c>
      <c r="T59" s="40" t="str">
        <f>IFERROR(T58+R59-S59+IF(OR($A59=$C$5,$A59='HIDDEN Redemption'!$B$12),$S$31,0),"")</f>
        <v/>
      </c>
      <c r="U59" s="40" t="e">
        <f>IF(OR(E59&gt;'HIDDEN Redemption'!$B$12,$E59&gt;$C$5),"",W58*$C$9/365*($F59-$F58))</f>
        <v>#N/A</v>
      </c>
      <c r="V59" s="89" t="e">
        <f>IF(OR(E59&gt;'HIDDEN Redemption'!$B$12,DAY($F59)&lt;&gt;DAY($F58)),0,V58)</f>
        <v>#N/A</v>
      </c>
      <c r="W59" s="40" t="str">
        <f t="shared" si="10"/>
        <v/>
      </c>
      <c r="X59" s="40" t="e">
        <f>IF(OR(I59&gt;'HIDDEN Redemption'!$B$12,$I59&gt;$C$5),"",Z58*$C$9/365*($J59-$J58))</f>
        <v>#N/A</v>
      </c>
      <c r="Y59" s="40" t="e">
        <f>IF(OR(I59&gt;'HIDDEN Redemption'!$B$12,DAY($J59)&lt;&gt;DAY($J58)),0,Y58)</f>
        <v>#N/A</v>
      </c>
      <c r="Z59" s="40" t="str">
        <f t="shared" si="11"/>
        <v/>
      </c>
      <c r="AA59" s="40" t="e">
        <f>IF(OR(M59&gt;'HIDDEN Redemption'!$B$12,$M59&gt;$C$5),"",AC58*$C$9/365*($N59-$N58))</f>
        <v>#N/A</v>
      </c>
      <c r="AB59" s="40" t="e">
        <f>IF(OR(M59&gt;'HIDDEN Redemption'!$B$12,DAY($N59)&lt;&gt;DAY($N58)),0,AB58)</f>
        <v>#N/A</v>
      </c>
      <c r="AC59" s="40" t="str">
        <f t="shared" si="12"/>
        <v/>
      </c>
      <c r="AD59" s="123" t="str">
        <f t="shared" si="1"/>
        <v/>
      </c>
    </row>
    <row r="60" spans="1:34">
      <c r="A60">
        <f t="shared" si="3"/>
        <v>22</v>
      </c>
      <c r="B60" s="99">
        <f>MIN(EDATE(B59,1),IF('HIDDEN Redemption'!$B$11="",Calculator!$C$48,'HIDDEN Redemption'!$B$11))</f>
        <v>667</v>
      </c>
      <c r="C60" s="40" t="str">
        <f>IFERROR(IF(OR(A60&gt;'Calculator Redemption'!$B$12,$A60&gt;$C$5),"",D59*$C$9/365*($B60-$B59)),"")</f>
        <v/>
      </c>
      <c r="D60" s="40" t="str">
        <f>IF(OR(C60="",C60=0),"",D59+C60+IF(OR($A60=$C$5,$B60='HIDDEN Redemption'!$B$11),$D$31,0))</f>
        <v/>
      </c>
      <c r="E60" t="e">
        <f t="shared" si="4"/>
        <v>#N/A</v>
      </c>
      <c r="F60" s="99">
        <f>MIN(EDATE(F59,1),IF('HIDDEN Redemption'!$B$11="",Calculator!$C$48,'HIDDEN Redemption'!$B$11))</f>
        <v>667</v>
      </c>
      <c r="G60" s="40" t="str">
        <f>IFERROR(IF(OR(E60&gt;'Calculator Redemption'!$B$12,$E60&gt;$C$5),"",H59*$C$9/365*($F60-$F59)),"")</f>
        <v/>
      </c>
      <c r="H60" s="40" t="str">
        <f t="shared" si="5"/>
        <v/>
      </c>
      <c r="I60" t="e">
        <f t="shared" si="6"/>
        <v>#N/A</v>
      </c>
      <c r="J60" s="99">
        <f>MIN(EDATE(J59,1),IF('HIDDEN Redemption'!$B$11="",Calculator!$C$48,'HIDDEN Redemption'!$B$11))</f>
        <v>667</v>
      </c>
      <c r="K60" s="40" t="str">
        <f>IFERROR(IF(OR(I60&gt;'Calculator Redemption'!$B$12,$I60&gt;$C$5),"",L59*$C$9/365*($J60-$J59)),"")</f>
        <v/>
      </c>
      <c r="L60" s="40" t="str">
        <f t="shared" si="13"/>
        <v/>
      </c>
      <c r="M60" t="e">
        <f t="shared" si="8"/>
        <v>#N/A</v>
      </c>
      <c r="N60" s="99">
        <f>MIN(EDATE(N59,1),IF('HIDDEN Redemption'!$B$11="",Calculator!$C$48,'HIDDEN Redemption'!$B$11))</f>
        <v>667</v>
      </c>
      <c r="O60" s="40" t="str">
        <f>IFERROR(IF(OR(M60&gt;'Calculator Redemption'!$B$12,$M60&gt;$C$5),"",P59*$C$9/365*($N60-$N59)),"")</f>
        <v/>
      </c>
      <c r="P60" s="40" t="str">
        <f t="shared" si="14"/>
        <v/>
      </c>
      <c r="Q60" s="96" t="e">
        <f t="shared" si="15"/>
        <v>#N/A</v>
      </c>
      <c r="R60" s="40" t="str">
        <f>IF(OR(A60&gt;'HIDDEN Redemption'!$B$12,$A60&gt;$C$5),"",T59*$C$9/365*($B60-$B59))</f>
        <v/>
      </c>
      <c r="S60" s="89">
        <f>IF(OR(A60&gt;'HIDDEN Redemption'!$B$12,DAY($B60)&lt;&gt;DAY($B59)),0,S59)</f>
        <v>0</v>
      </c>
      <c r="T60" s="40" t="str">
        <f>IFERROR(T59+R60-S60+IF(OR($A60=$C$5,$A60='HIDDEN Redemption'!$B$12),$S$31,0),"")</f>
        <v/>
      </c>
      <c r="U60" s="40" t="e">
        <f>IF(OR(E60&gt;'HIDDEN Redemption'!$B$12,$E60&gt;$C$5),"",W59*$C$9/365*($F60-$F59))</f>
        <v>#N/A</v>
      </c>
      <c r="V60" s="89" t="e">
        <f>IF(OR(E60&gt;'HIDDEN Redemption'!$B$12,DAY($F60)&lt;&gt;DAY($F59)),0,V59)</f>
        <v>#N/A</v>
      </c>
      <c r="W60" s="40" t="str">
        <f t="shared" si="10"/>
        <v/>
      </c>
      <c r="X60" s="40" t="e">
        <f>IF(OR(I60&gt;'HIDDEN Redemption'!$B$12,$I60&gt;$C$5),"",Z59*$C$9/365*($J60-$J59))</f>
        <v>#N/A</v>
      </c>
      <c r="Y60" s="40" t="e">
        <f>IF(OR(I60&gt;'HIDDEN Redemption'!$B$12,DAY($J60)&lt;&gt;DAY($J59)),0,Y59)</f>
        <v>#N/A</v>
      </c>
      <c r="Z60" s="40" t="str">
        <f t="shared" si="11"/>
        <v/>
      </c>
      <c r="AA60" s="40" t="e">
        <f>IF(OR(M60&gt;'HIDDEN Redemption'!$B$12,$M60&gt;$C$5),"",AC59*$C$9/365*($N60-$N59))</f>
        <v>#N/A</v>
      </c>
      <c r="AB60" s="40" t="e">
        <f>IF(OR(M60&gt;'HIDDEN Redemption'!$B$12,DAY($N60)&lt;&gt;DAY($N59)),0,AB59)</f>
        <v>#N/A</v>
      </c>
      <c r="AC60" s="40" t="str">
        <f t="shared" si="12"/>
        <v/>
      </c>
      <c r="AD60" s="123" t="str">
        <f t="shared" si="1"/>
        <v/>
      </c>
    </row>
    <row r="61" spans="1:34">
      <c r="A61">
        <f t="shared" si="3"/>
        <v>23</v>
      </c>
      <c r="B61" s="99">
        <f>MIN(EDATE(B60,1),IF('HIDDEN Redemption'!$B$11="",Calculator!$C$48,'HIDDEN Redemption'!$B$11))</f>
        <v>698</v>
      </c>
      <c r="C61" s="40" t="str">
        <f>IFERROR(IF(OR(A61&gt;'Calculator Redemption'!$B$12,$A61&gt;$C$5),"",D60*$C$9/365*($B61-$B60)),"")</f>
        <v/>
      </c>
      <c r="D61" s="40" t="str">
        <f>IF(OR(C61="",C61=0),"",D60+C61+IF(OR($A61=$C$5,$B61='HIDDEN Redemption'!$B$11),$D$31,0))</f>
        <v/>
      </c>
      <c r="E61" t="e">
        <f t="shared" si="4"/>
        <v>#N/A</v>
      </c>
      <c r="F61" s="99">
        <f>MIN(EDATE(F60,1),IF('HIDDEN Redemption'!$B$11="",Calculator!$C$48,'HIDDEN Redemption'!$B$11))</f>
        <v>698</v>
      </c>
      <c r="G61" s="40" t="str">
        <f>IFERROR(IF(OR(E61&gt;'Calculator Redemption'!$B$12,$E61&gt;$C$5),"",H60*$C$9/365*($F61-$F60)),"")</f>
        <v/>
      </c>
      <c r="H61" s="40" t="str">
        <f t="shared" si="5"/>
        <v/>
      </c>
      <c r="I61" t="e">
        <f t="shared" si="6"/>
        <v>#N/A</v>
      </c>
      <c r="J61" s="99">
        <f>MIN(EDATE(J60,1),IF('HIDDEN Redemption'!$B$11="",Calculator!$C$48,'HIDDEN Redemption'!$B$11))</f>
        <v>698</v>
      </c>
      <c r="K61" s="40" t="str">
        <f>IFERROR(IF(OR(I61&gt;'Calculator Redemption'!$B$12,$I61&gt;$C$5),"",L60*$C$9/365*($J61-$J60)),"")</f>
        <v/>
      </c>
      <c r="L61" s="40" t="str">
        <f t="shared" si="13"/>
        <v/>
      </c>
      <c r="M61" t="e">
        <f t="shared" si="8"/>
        <v>#N/A</v>
      </c>
      <c r="N61" s="99">
        <f>MIN(EDATE(N60,1),IF('HIDDEN Redemption'!$B$11="",Calculator!$C$48,'HIDDEN Redemption'!$B$11))</f>
        <v>698</v>
      </c>
      <c r="O61" s="40" t="str">
        <f>IFERROR(IF(OR(M61&gt;'Calculator Redemption'!$B$12,$M61&gt;$C$5),"",P60*$C$9/365*($N61-$N60)),"")</f>
        <v/>
      </c>
      <c r="P61" s="40" t="str">
        <f t="shared" si="14"/>
        <v/>
      </c>
      <c r="Q61" s="96" t="e">
        <f t="shared" si="15"/>
        <v>#N/A</v>
      </c>
      <c r="R61" s="40" t="str">
        <f>IF(OR(A61&gt;'HIDDEN Redemption'!$B$12,$A61&gt;$C$5),"",T60*$C$9/365*($B61-$B60))</f>
        <v/>
      </c>
      <c r="S61" s="89">
        <f>IF(OR(A61&gt;'HIDDEN Redemption'!$B$12,DAY($B61)&lt;&gt;DAY($B60)),0,S60)</f>
        <v>0</v>
      </c>
      <c r="T61" s="40" t="str">
        <f>IFERROR(T60+R61-S61+IF(OR($A61=$C$5,$A61='HIDDEN Redemption'!$B$12),$S$31,0),"")</f>
        <v/>
      </c>
      <c r="U61" s="40" t="e">
        <f>IF(OR(E61&gt;'HIDDEN Redemption'!$B$12,$E61&gt;$C$5),"",W60*$C$9/365*($F61-$F60))</f>
        <v>#N/A</v>
      </c>
      <c r="V61" s="89" t="e">
        <f>IF(OR(E61&gt;'HIDDEN Redemption'!$B$12,DAY($F61)&lt;&gt;DAY($F60)),0,V60)</f>
        <v>#N/A</v>
      </c>
      <c r="W61" s="40" t="str">
        <f t="shared" si="10"/>
        <v/>
      </c>
      <c r="X61" s="40" t="e">
        <f>IF(OR(I61&gt;'HIDDEN Redemption'!$B$12,$I61&gt;$C$5),"",Z60*$C$9/365*($J61-$J60))</f>
        <v>#N/A</v>
      </c>
      <c r="Y61" s="40" t="e">
        <f>IF(OR(I61&gt;'HIDDEN Redemption'!$B$12,DAY($J61)&lt;&gt;DAY($J60)),0,Y60)</f>
        <v>#N/A</v>
      </c>
      <c r="Z61" s="40" t="str">
        <f t="shared" si="11"/>
        <v/>
      </c>
      <c r="AA61" s="40" t="e">
        <f>IF(OR(M61&gt;'HIDDEN Redemption'!$B$12,$M61&gt;$C$5),"",AC60*$C$9/365*($N61-$N60))</f>
        <v>#N/A</v>
      </c>
      <c r="AB61" s="40" t="e">
        <f>IF(OR(M61&gt;'HIDDEN Redemption'!$B$12,DAY($N61)&lt;&gt;DAY($N60)),0,AB60)</f>
        <v>#N/A</v>
      </c>
      <c r="AC61" s="40" t="str">
        <f t="shared" si="12"/>
        <v/>
      </c>
      <c r="AD61" s="123" t="str">
        <f t="shared" si="1"/>
        <v/>
      </c>
    </row>
    <row r="62" spans="1:34">
      <c r="A62">
        <f t="shared" si="3"/>
        <v>24</v>
      </c>
      <c r="B62" s="99">
        <f>MIN(EDATE(B61,1),IF('HIDDEN Redemption'!$B$11="",Calculator!$C$48,'HIDDEN Redemption'!$B$11))</f>
        <v>728</v>
      </c>
      <c r="C62" s="40" t="str">
        <f>IFERROR(IF(OR(A62&gt;'Calculator Redemption'!$B$12,$A62&gt;$C$5),"",D61*$C$9/365*($B62-$B61)),"")</f>
        <v/>
      </c>
      <c r="D62" s="40" t="str">
        <f>IF(OR(C62="",C62=0),"",D61+C62+IF(OR($A62=$C$5,$B62='HIDDEN Redemption'!$B$11),$D$31,0))</f>
        <v/>
      </c>
      <c r="E62" t="e">
        <f t="shared" si="4"/>
        <v>#N/A</v>
      </c>
      <c r="F62" s="99">
        <f>MIN(EDATE(F61,1),IF('HIDDEN Redemption'!$B$11="",Calculator!$C$48,'HIDDEN Redemption'!$B$11))</f>
        <v>728</v>
      </c>
      <c r="G62" s="40" t="str">
        <f>IFERROR(IF(OR(E62&gt;'Calculator Redemption'!$B$12,$E62&gt;$C$5),"",H61*$C$9/365*($F62-$F61)),"")</f>
        <v/>
      </c>
      <c r="H62" s="40" t="str">
        <f t="shared" si="5"/>
        <v/>
      </c>
      <c r="I62" t="e">
        <f t="shared" si="6"/>
        <v>#N/A</v>
      </c>
      <c r="J62" s="99">
        <f>MIN(EDATE(J61,1),IF('HIDDEN Redemption'!$B$11="",Calculator!$C$48,'HIDDEN Redemption'!$B$11))</f>
        <v>728</v>
      </c>
      <c r="K62" s="40" t="str">
        <f>IFERROR(IF(OR(I62&gt;'Calculator Redemption'!$B$12,$I62&gt;$C$5),"",L61*$C$9/365*($J62-$J61)),"")</f>
        <v/>
      </c>
      <c r="L62" s="40" t="str">
        <f t="shared" si="13"/>
        <v/>
      </c>
      <c r="M62" t="e">
        <f t="shared" si="8"/>
        <v>#N/A</v>
      </c>
      <c r="N62" s="99">
        <f>MIN(EDATE(N61,1),IF('HIDDEN Redemption'!$B$11="",Calculator!$C$48,'HIDDEN Redemption'!$B$11))</f>
        <v>728</v>
      </c>
      <c r="O62" s="40" t="str">
        <f>IFERROR(IF(OR(M62&gt;'Calculator Redemption'!$B$12,$M62&gt;$C$5),"",P61*$C$9/365*($N62-$N61)),"")</f>
        <v/>
      </c>
      <c r="P62" s="40" t="str">
        <f t="shared" si="14"/>
        <v/>
      </c>
      <c r="Q62" s="96" t="e">
        <f t="shared" si="15"/>
        <v>#N/A</v>
      </c>
      <c r="R62" s="40" t="str">
        <f>IF(OR(A62&gt;'HIDDEN Redemption'!$B$12,$A62&gt;$C$5),"",T61*$C$9/365*($B62-$B61))</f>
        <v/>
      </c>
      <c r="S62" s="89">
        <f>IF(OR(A62&gt;'HIDDEN Redemption'!$B$12,DAY($B62)&lt;&gt;DAY($B61)),0,S61)</f>
        <v>0</v>
      </c>
      <c r="T62" s="40" t="str">
        <f>IFERROR(T61+R62-S62+IF(OR($A62=$C$5,$A62='HIDDEN Redemption'!$B$12),$S$31,0),"")</f>
        <v/>
      </c>
      <c r="U62" s="40" t="e">
        <f>IF(OR(E62&gt;'HIDDEN Redemption'!$B$12,$E62&gt;$C$5),"",W61*$C$9/365*($F62-$F61))</f>
        <v>#N/A</v>
      </c>
      <c r="V62" s="89" t="e">
        <f>IF(OR(E62&gt;'HIDDEN Redemption'!$B$12,DAY($F62)&lt;&gt;DAY($F61)),0,V61)</f>
        <v>#N/A</v>
      </c>
      <c r="W62" s="40" t="str">
        <f t="shared" si="10"/>
        <v/>
      </c>
      <c r="X62" s="40" t="e">
        <f>IF(OR(I62&gt;'HIDDEN Redemption'!$B$12,$I62&gt;$C$5),"",Z61*$C$9/365*($J62-$J61))</f>
        <v>#N/A</v>
      </c>
      <c r="Y62" s="40" t="e">
        <f>IF(OR(I62&gt;'HIDDEN Redemption'!$B$12,DAY($J62)&lt;&gt;DAY($J61)),0,Y61)</f>
        <v>#N/A</v>
      </c>
      <c r="Z62" s="40" t="str">
        <f t="shared" si="11"/>
        <v/>
      </c>
      <c r="AA62" s="40" t="e">
        <f>IF(OR(M62&gt;'HIDDEN Redemption'!$B$12,$M62&gt;$C$5),"",AC61*$C$9/365*($N62-$N61))</f>
        <v>#N/A</v>
      </c>
      <c r="AB62" s="40" t="e">
        <f>IF(OR(M62&gt;'HIDDEN Redemption'!$B$12,DAY($N62)&lt;&gt;DAY($N61)),0,AB61)</f>
        <v>#N/A</v>
      </c>
      <c r="AC62" s="40" t="str">
        <f t="shared" si="12"/>
        <v/>
      </c>
      <c r="AD62" s="123" t="str">
        <f t="shared" si="1"/>
        <v/>
      </c>
    </row>
    <row r="63" spans="1:34">
      <c r="B63" s="80"/>
      <c r="C63" s="42"/>
      <c r="D63" s="42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91"/>
      <c r="R63" s="90"/>
      <c r="S63" s="42"/>
      <c r="T63" s="29"/>
      <c r="U63" s="29"/>
      <c r="V63" s="29"/>
      <c r="W63" s="29"/>
      <c r="X63" s="29"/>
      <c r="Y63" s="29"/>
      <c r="Z63" s="29"/>
      <c r="AA63" s="29"/>
      <c r="AB63" s="29"/>
      <c r="AC63" s="29"/>
    </row>
    <row r="64" spans="1:34">
      <c r="A64" s="100"/>
      <c r="B64" s="81" t="s">
        <v>253</v>
      </c>
      <c r="C64" s="332" t="e">
        <f>SUM(_xlfn.XLOOKUP($C$5,A39:A62,D39:D62,0,0,1),_xlfn.XLOOKUP($C$5,I39:I62,L39:L62,0,0,1),_xlfn.XLOOKUP($C$5,$E$39:$E$62,$H$39:$H$62,0,0,1),_xlfn.XLOOKUP($C$5,$M$39:$M$62,$P$39:$P$62,0,0,1))/C7</f>
        <v>#DIV/0!</v>
      </c>
      <c r="D64" s="333"/>
      <c r="E64" s="103"/>
      <c r="F64" s="103"/>
      <c r="G64" s="103"/>
      <c r="H64" s="103"/>
      <c r="I64" s="103"/>
      <c r="J64" s="103"/>
      <c r="K64" s="103"/>
      <c r="L64" s="103"/>
      <c r="M64" s="29"/>
      <c r="N64" s="29"/>
      <c r="O64" s="29"/>
      <c r="P64" s="29"/>
      <c r="Q64" s="109"/>
      <c r="R64" s="334" t="e">
        <f>SUM(S35,U35,W35)/C7</f>
        <v>#DIV/0!</v>
      </c>
      <c r="S64" s="333"/>
      <c r="T64" s="29"/>
      <c r="U64" s="29"/>
      <c r="V64" s="29"/>
      <c r="W64" s="29"/>
      <c r="X64" s="29"/>
      <c r="Y64" s="29"/>
      <c r="Z64" s="29"/>
      <c r="AA64" s="29"/>
      <c r="AB64" s="29"/>
      <c r="AC64" s="29"/>
    </row>
    <row r="65" spans="1:33">
      <c r="B65" s="83"/>
      <c r="C65" s="43"/>
      <c r="D65" s="43"/>
      <c r="E65" s="103"/>
      <c r="F65" s="103"/>
      <c r="G65" s="103"/>
      <c r="H65" s="103"/>
      <c r="I65" s="103"/>
      <c r="J65" s="103"/>
      <c r="K65" s="103"/>
      <c r="L65" s="103"/>
      <c r="M65" s="29"/>
      <c r="N65" s="29"/>
      <c r="O65" s="29"/>
      <c r="P65" s="29"/>
      <c r="Q65" s="110"/>
      <c r="R65" s="29"/>
      <c r="S65" s="29"/>
      <c r="T65" s="29"/>
      <c r="U65" s="27"/>
      <c r="V65" s="29"/>
      <c r="W65" s="29"/>
      <c r="X65" s="29"/>
      <c r="Y65" s="29"/>
      <c r="Z65" s="29"/>
      <c r="AA65" s="29"/>
      <c r="AB65" s="29"/>
      <c r="AC65" s="29"/>
    </row>
    <row r="66" spans="1:33">
      <c r="A66" s="100"/>
      <c r="B66" s="81" t="s">
        <v>142</v>
      </c>
      <c r="C66" s="335">
        <f>C19</f>
        <v>0</v>
      </c>
      <c r="D66" s="336"/>
      <c r="E66" s="103"/>
      <c r="F66" s="103"/>
      <c r="G66" s="103"/>
      <c r="H66" s="103"/>
      <c r="I66" s="103"/>
      <c r="J66" s="103"/>
      <c r="K66" s="103"/>
      <c r="L66" s="103"/>
      <c r="M66" s="29"/>
      <c r="N66" s="29"/>
      <c r="O66" s="29"/>
      <c r="P66" s="29"/>
      <c r="Q66" s="111"/>
      <c r="R66" s="337" t="e">
        <f>SUM(S35,S39:S56,U35,V39:V56,W35,Y39:Y56)</f>
        <v>#N/A</v>
      </c>
      <c r="S66" s="336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1:33">
      <c r="A67" s="100"/>
      <c r="B67" s="82" t="s">
        <v>146</v>
      </c>
      <c r="C67" s="335" t="e">
        <f>C66/C15</f>
        <v>#DIV/0!</v>
      </c>
      <c r="D67" s="336"/>
      <c r="E67" s="103"/>
      <c r="F67" s="103"/>
      <c r="G67" s="103"/>
      <c r="H67" s="103"/>
      <c r="I67" s="103"/>
      <c r="J67" s="103"/>
      <c r="K67" s="103"/>
      <c r="L67" s="103"/>
      <c r="M67" s="29"/>
      <c r="N67" s="29"/>
      <c r="O67" s="29"/>
      <c r="P67" s="29"/>
      <c r="Q67" s="112"/>
      <c r="R67" s="337" t="e">
        <f>R66/C15</f>
        <v>#N/A</v>
      </c>
      <c r="S67" s="336"/>
      <c r="T67" s="29"/>
      <c r="U67" s="29"/>
      <c r="V67" s="29"/>
      <c r="W67" s="29"/>
      <c r="X67" s="29"/>
      <c r="Y67" s="29"/>
      <c r="Z67" s="29"/>
      <c r="AA67" s="29"/>
      <c r="AB67" s="29"/>
      <c r="AC67" s="29"/>
    </row>
    <row r="68" spans="1:33">
      <c r="A68" s="100"/>
      <c r="B68" s="82" t="s">
        <v>149</v>
      </c>
      <c r="C68" s="332" t="e">
        <f>IF('Calculator Redemption'!B11="",(1+IRR(Q38:Q62))^12-1,"")</f>
        <v>#VALUE!</v>
      </c>
      <c r="D68" s="333"/>
      <c r="E68" s="103"/>
      <c r="F68" s="103"/>
      <c r="G68" s="103"/>
      <c r="H68" s="103"/>
      <c r="I68" s="103"/>
      <c r="J68" s="103"/>
      <c r="K68" s="103"/>
      <c r="L68" s="103"/>
      <c r="M68" s="29"/>
      <c r="N68" s="29"/>
      <c r="O68" s="29"/>
      <c r="P68" s="29"/>
      <c r="Q68" s="112"/>
      <c r="R68" s="334" t="e">
        <f>IF('HIDDEN Redemption'!B11="",(1+IRR(AD38:AD56))^12-1,"")</f>
        <v>#NUM!</v>
      </c>
      <c r="S68" s="333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G68" s="12"/>
    </row>
    <row r="69" spans="1:33">
      <c r="B69" s="84"/>
      <c r="C69" s="44"/>
      <c r="D69" s="44"/>
      <c r="E69" s="103"/>
      <c r="F69" s="103"/>
      <c r="G69" s="103"/>
      <c r="H69" s="103"/>
      <c r="I69" s="103"/>
      <c r="J69" s="103"/>
      <c r="K69" s="103"/>
      <c r="L69" s="103"/>
      <c r="M69" s="29"/>
      <c r="N69" s="29"/>
      <c r="O69" s="29"/>
      <c r="P69" s="29"/>
      <c r="Q69" s="113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G69" s="12"/>
    </row>
    <row r="70" spans="1:33">
      <c r="AG70" s="12"/>
    </row>
    <row r="72" spans="1:33">
      <c r="K72" s="114"/>
      <c r="L72" s="115"/>
      <c r="M72" s="115"/>
      <c r="N72" s="115"/>
      <c r="O72" s="115"/>
      <c r="P72" s="115"/>
    </row>
    <row r="78" spans="1:33">
      <c r="H78" s="41"/>
      <c r="I78" s="41"/>
      <c r="J78" s="41"/>
      <c r="K78" s="41"/>
    </row>
  </sheetData>
  <mergeCells count="8">
    <mergeCell ref="C68:D68"/>
    <mergeCell ref="R68:S68"/>
    <mergeCell ref="C64:D64"/>
    <mergeCell ref="R64:S64"/>
    <mergeCell ref="C66:D66"/>
    <mergeCell ref="R66:S66"/>
    <mergeCell ref="C67:D67"/>
    <mergeCell ref="R67:S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88D84-2A5F-404B-A039-DBF7F567718A}">
  <dimension ref="A4:S66"/>
  <sheetViews>
    <sheetView showGridLines="0" zoomScaleNormal="100" workbookViewId="0">
      <selection activeCell="C17" sqref="C17"/>
    </sheetView>
  </sheetViews>
  <sheetFormatPr baseColWidth="10" defaultColWidth="8.6640625" defaultRowHeight="15"/>
  <cols>
    <col min="1" max="1" width="54.83203125" style="51" bestFit="1" customWidth="1"/>
    <col min="2" max="2" width="33.83203125" style="51" bestFit="1" customWidth="1"/>
    <col min="3" max="3" width="30.83203125" style="51" customWidth="1"/>
    <col min="4" max="4" width="15.5" style="51" customWidth="1"/>
    <col min="5" max="5" width="16" style="51" bestFit="1" customWidth="1"/>
    <col min="6" max="7" width="13.5" style="51" customWidth="1"/>
    <col min="8" max="8" width="26.6640625" style="51" bestFit="1" customWidth="1"/>
    <col min="9" max="9" width="21.5" style="51" bestFit="1" customWidth="1"/>
    <col min="10" max="11" width="21" style="51" bestFit="1" customWidth="1"/>
    <col min="12" max="12" width="19.83203125" style="51" bestFit="1" customWidth="1"/>
    <col min="13" max="13" width="22.6640625" style="51" customWidth="1"/>
    <col min="14" max="14" width="15.5" style="51" customWidth="1"/>
    <col min="15" max="15" width="36.5" style="51" customWidth="1"/>
    <col min="16" max="16" width="46.6640625" style="51" customWidth="1"/>
    <col min="17" max="17" width="34.33203125" style="51" customWidth="1"/>
    <col min="18" max="18" width="8.6640625" style="51"/>
    <col min="19" max="19" width="9.83203125" style="51" bestFit="1" customWidth="1"/>
    <col min="20" max="16384" width="8.6640625" style="51"/>
  </cols>
  <sheetData>
    <row r="4" spans="1:13">
      <c r="A4" s="72" t="s">
        <v>0</v>
      </c>
    </row>
    <row r="6" spans="1:13">
      <c r="C6" s="52" t="s">
        <v>1</v>
      </c>
    </row>
    <row r="7" spans="1:13">
      <c r="C7" s="53" t="s">
        <v>2</v>
      </c>
    </row>
    <row r="9" spans="1:13">
      <c r="A9" s="70" t="s">
        <v>3</v>
      </c>
      <c r="B9" s="54" t="s">
        <v>4</v>
      </c>
      <c r="C9" s="129" t="s">
        <v>5</v>
      </c>
      <c r="D9" s="55"/>
      <c r="I9" s="56"/>
      <c r="J9" s="54" t="s">
        <v>6</v>
      </c>
      <c r="K9" s="54" t="s">
        <v>7</v>
      </c>
      <c r="L9" s="54" t="s">
        <v>8</v>
      </c>
      <c r="M9" s="54" t="s">
        <v>9</v>
      </c>
    </row>
    <row r="10" spans="1:13">
      <c r="A10" s="70" t="s">
        <v>10</v>
      </c>
      <c r="B10" s="54" t="s">
        <v>11</v>
      </c>
      <c r="C10" s="129" t="s">
        <v>12</v>
      </c>
      <c r="D10" s="55"/>
      <c r="I10" s="54" t="s">
        <v>13</v>
      </c>
      <c r="J10" s="136" t="s">
        <v>14</v>
      </c>
      <c r="K10" s="136" t="s">
        <v>15</v>
      </c>
      <c r="L10" s="136"/>
      <c r="M10" s="136" t="s">
        <v>16</v>
      </c>
    </row>
    <row r="11" spans="1:13" ht="16">
      <c r="A11" s="70" t="s">
        <v>17</v>
      </c>
      <c r="B11" s="54" t="s">
        <v>18</v>
      </c>
      <c r="C11" s="130" t="s">
        <v>19</v>
      </c>
      <c r="D11" s="55"/>
      <c r="I11" s="54" t="s">
        <v>20</v>
      </c>
      <c r="J11" s="136"/>
      <c r="K11" s="136"/>
      <c r="L11" s="136"/>
      <c r="M11" s="136"/>
    </row>
    <row r="12" spans="1:13">
      <c r="A12" s="70" t="s">
        <v>21</v>
      </c>
      <c r="B12" s="54" t="s">
        <v>22</v>
      </c>
      <c r="C12" s="129"/>
      <c r="D12" s="55"/>
      <c r="I12" s="54" t="s">
        <v>23</v>
      </c>
      <c r="J12" s="136"/>
      <c r="K12" s="136"/>
      <c r="L12" s="136"/>
      <c r="M12" s="136"/>
    </row>
    <row r="13" spans="1:13">
      <c r="A13" s="70"/>
      <c r="C13" s="57"/>
      <c r="I13" s="54" t="s">
        <v>24</v>
      </c>
      <c r="J13" s="136"/>
      <c r="K13" s="136"/>
      <c r="L13" s="136"/>
      <c r="M13" s="136"/>
    </row>
    <row r="14" spans="1:13" ht="16">
      <c r="A14" s="70" t="s">
        <v>25</v>
      </c>
      <c r="B14" s="54" t="s">
        <v>26</v>
      </c>
      <c r="C14" s="130" t="s">
        <v>318</v>
      </c>
      <c r="D14" s="55"/>
      <c r="I14" s="54" t="s">
        <v>27</v>
      </c>
      <c r="J14" s="338"/>
      <c r="K14" s="338"/>
      <c r="L14" s="338"/>
      <c r="M14" s="338"/>
    </row>
    <row r="15" spans="1:13">
      <c r="A15" s="70"/>
      <c r="B15" s="54" t="s">
        <v>28</v>
      </c>
      <c r="C15" s="58">
        <f>_xlfn.XLOOKUP(C14,Products!B:B,Products!E:E,0,0,1)</f>
        <v>0.02</v>
      </c>
    </row>
    <row r="16" spans="1:13" ht="16">
      <c r="A16" s="70" t="s">
        <v>29</v>
      </c>
      <c r="B16" s="54" t="s">
        <v>30</v>
      </c>
      <c r="C16" s="130" t="s">
        <v>31</v>
      </c>
      <c r="D16" s="55"/>
      <c r="I16" s="54" t="s">
        <v>32</v>
      </c>
      <c r="J16" s="338" t="s">
        <v>33</v>
      </c>
      <c r="K16" s="338"/>
    </row>
    <row r="17" spans="1:19" ht="16">
      <c r="A17" s="70" t="s">
        <v>34</v>
      </c>
      <c r="B17" s="54" t="s">
        <v>35</v>
      </c>
      <c r="C17" s="130" t="s">
        <v>376</v>
      </c>
      <c r="D17" s="55"/>
      <c r="I17" s="54" t="s">
        <v>36</v>
      </c>
      <c r="J17" s="136"/>
      <c r="K17" s="136"/>
    </row>
    <row r="18" spans="1:19" ht="16">
      <c r="A18" s="70" t="s">
        <v>37</v>
      </c>
      <c r="B18" s="54" t="s">
        <v>38</v>
      </c>
      <c r="C18" s="130" t="s">
        <v>297</v>
      </c>
      <c r="D18" s="55"/>
      <c r="I18" s="54" t="s">
        <v>39</v>
      </c>
      <c r="J18" s="136"/>
      <c r="K18" s="136"/>
      <c r="M18" s="51" t="s">
        <v>40</v>
      </c>
    </row>
    <row r="19" spans="1:19">
      <c r="A19" s="205"/>
      <c r="B19" s="206"/>
      <c r="C19" s="57"/>
      <c r="D19" s="57" t="s">
        <v>41</v>
      </c>
      <c r="E19" s="57" t="s">
        <v>42</v>
      </c>
      <c r="F19" s="57" t="s">
        <v>43</v>
      </c>
      <c r="G19" s="57"/>
      <c r="I19" s="54" t="s">
        <v>44</v>
      </c>
      <c r="J19" s="136"/>
      <c r="K19" s="136"/>
    </row>
    <row r="20" spans="1:19">
      <c r="A20" s="70" t="s">
        <v>45</v>
      </c>
      <c r="B20" s="54" t="s">
        <v>46</v>
      </c>
      <c r="C20" s="131">
        <v>100000</v>
      </c>
      <c r="D20" s="131">
        <v>100000</v>
      </c>
      <c r="E20" s="131">
        <v>100000</v>
      </c>
      <c r="F20" s="131">
        <v>10000</v>
      </c>
    </row>
    <row r="21" spans="1:19" ht="48">
      <c r="A21" s="70" t="s">
        <v>47</v>
      </c>
      <c r="B21" s="54" t="s">
        <v>48</v>
      </c>
      <c r="C21" s="132">
        <v>46174</v>
      </c>
      <c r="D21" s="132">
        <v>46204</v>
      </c>
      <c r="E21" s="132">
        <v>46235</v>
      </c>
      <c r="F21" s="132">
        <v>46266</v>
      </c>
      <c r="I21" s="59"/>
      <c r="J21" s="60" t="s">
        <v>49</v>
      </c>
      <c r="K21" s="60" t="s">
        <v>50</v>
      </c>
      <c r="L21" s="60" t="s">
        <v>51</v>
      </c>
      <c r="M21" s="202" t="s">
        <v>52</v>
      </c>
      <c r="N21" s="202" t="s">
        <v>53</v>
      </c>
      <c r="O21" s="60" t="s">
        <v>54</v>
      </c>
      <c r="P21" s="60" t="s">
        <v>55</v>
      </c>
    </row>
    <row r="22" spans="1:19" ht="16">
      <c r="A22" s="70"/>
      <c r="B22" s="54" t="s">
        <v>56</v>
      </c>
      <c r="C22" s="62">
        <f>EDATE(C21,C24)</f>
        <v>46539</v>
      </c>
      <c r="I22" s="60" t="s">
        <v>57</v>
      </c>
      <c r="J22" s="135">
        <v>500000</v>
      </c>
      <c r="K22" s="135">
        <v>500000</v>
      </c>
      <c r="L22" s="135">
        <v>200000</v>
      </c>
      <c r="M22" s="135">
        <f>IF(O22="Y",MIN(J22:K22),(K22*70%)-L22)</f>
        <v>500000</v>
      </c>
      <c r="N22" s="135">
        <f>IF(O22="Y",MIN(M22*75%),(M22*70%))</f>
        <v>375000</v>
      </c>
      <c r="O22" s="135" t="s">
        <v>58</v>
      </c>
      <c r="P22" s="339" t="s">
        <v>59</v>
      </c>
      <c r="S22" s="204"/>
    </row>
    <row r="23" spans="1:19" ht="16">
      <c r="A23" s="70"/>
      <c r="B23" s="54" t="s">
        <v>60</v>
      </c>
      <c r="C23" s="216">
        <f>(SUM(C20:F20)+SUMIFS(C35:C39,D35:D39,"Yes"))/M33</f>
        <v>0.21091666666666667</v>
      </c>
      <c r="I23" s="60" t="s">
        <v>61</v>
      </c>
      <c r="J23" s="135">
        <v>1000000</v>
      </c>
      <c r="K23" s="135">
        <v>1200000</v>
      </c>
      <c r="L23" s="135">
        <v>750000</v>
      </c>
      <c r="M23" s="135">
        <f t="shared" ref="M23:M31" si="0">IF(O23="Y",MIN(J23:K23),(K23*70%)-L23)</f>
        <v>1000000</v>
      </c>
      <c r="N23" s="135">
        <f>IF(O23="Y",MIN(M23*75%),(M23*70%))</f>
        <v>750000</v>
      </c>
      <c r="O23" s="135" t="s">
        <v>58</v>
      </c>
      <c r="P23" s="340"/>
    </row>
    <row r="24" spans="1:19" ht="16">
      <c r="A24" s="70" t="s">
        <v>63</v>
      </c>
      <c r="B24" s="54" t="s">
        <v>64</v>
      </c>
      <c r="C24" s="129">
        <v>12</v>
      </c>
      <c r="D24" s="55"/>
      <c r="I24" s="60" t="s">
        <v>65</v>
      </c>
      <c r="J24" s="135">
        <v>0</v>
      </c>
      <c r="K24" s="135">
        <v>0</v>
      </c>
      <c r="L24" s="135">
        <v>0</v>
      </c>
      <c r="M24" s="135">
        <f t="shared" si="0"/>
        <v>0</v>
      </c>
      <c r="N24" s="135"/>
      <c r="O24" s="135" t="s">
        <v>62</v>
      </c>
      <c r="P24" s="340"/>
    </row>
    <row r="25" spans="1:19" ht="16">
      <c r="A25" s="70" t="s">
        <v>66</v>
      </c>
      <c r="B25" s="54" t="s">
        <v>67</v>
      </c>
      <c r="C25" s="67">
        <v>4</v>
      </c>
      <c r="D25" s="55"/>
      <c r="I25" s="60" t="s">
        <v>68</v>
      </c>
      <c r="J25" s="135">
        <v>0</v>
      </c>
      <c r="K25" s="135">
        <v>0</v>
      </c>
      <c r="L25" s="135">
        <v>0</v>
      </c>
      <c r="M25" s="135">
        <f t="shared" si="0"/>
        <v>0</v>
      </c>
      <c r="N25" s="135"/>
      <c r="O25" s="135" t="s">
        <v>62</v>
      </c>
      <c r="P25" s="340"/>
    </row>
    <row r="26" spans="1:19" ht="16">
      <c r="A26" s="70"/>
      <c r="B26" s="54" t="s">
        <v>69</v>
      </c>
      <c r="C26" s="63">
        <f>_xlfn.XLOOKUP($C$14,Products!$B:$B,Products!$G:$G,0,0,1)</f>
        <v>8.4000000000000005E-2</v>
      </c>
      <c r="I26" s="60" t="s">
        <v>70</v>
      </c>
      <c r="J26" s="135">
        <v>0</v>
      </c>
      <c r="K26" s="135">
        <v>0</v>
      </c>
      <c r="L26" s="135">
        <v>0</v>
      </c>
      <c r="M26" s="135">
        <f t="shared" si="0"/>
        <v>0</v>
      </c>
      <c r="N26" s="135"/>
      <c r="O26" s="135" t="s">
        <v>62</v>
      </c>
      <c r="P26" s="340"/>
    </row>
    <row r="27" spans="1:19" ht="16">
      <c r="A27" s="70" t="s">
        <v>71</v>
      </c>
      <c r="B27" s="54" t="s">
        <v>72</v>
      </c>
      <c r="C27" s="129" t="s">
        <v>73</v>
      </c>
      <c r="D27" s="55"/>
      <c r="I27" s="60" t="s">
        <v>74</v>
      </c>
      <c r="J27" s="135">
        <v>0</v>
      </c>
      <c r="K27" s="135">
        <v>0</v>
      </c>
      <c r="L27" s="135">
        <v>0</v>
      </c>
      <c r="M27" s="135">
        <f t="shared" si="0"/>
        <v>0</v>
      </c>
      <c r="N27" s="135"/>
      <c r="O27" s="135" t="s">
        <v>62</v>
      </c>
      <c r="P27" s="340"/>
    </row>
    <row r="28" spans="1:19" ht="16">
      <c r="A28" s="70"/>
      <c r="B28" s="54" t="s">
        <v>75</v>
      </c>
      <c r="C28" s="65">
        <f>IF(C27="Rolled",'HIDDEN Cashflow'!$C$21,"n/a")</f>
        <v>26537.048571901658</v>
      </c>
      <c r="E28" s="203"/>
      <c r="I28" s="60" t="s">
        <v>76</v>
      </c>
      <c r="J28" s="135">
        <v>0</v>
      </c>
      <c r="K28" s="135">
        <v>0</v>
      </c>
      <c r="L28" s="135">
        <v>0</v>
      </c>
      <c r="M28" s="135">
        <f t="shared" si="0"/>
        <v>0</v>
      </c>
      <c r="N28" s="135"/>
      <c r="O28" s="135" t="s">
        <v>62</v>
      </c>
      <c r="P28" s="340"/>
    </row>
    <row r="29" spans="1:19" ht="16">
      <c r="A29" s="70"/>
      <c r="B29" s="54" t="s">
        <v>77</v>
      </c>
      <c r="C29" s="65">
        <f>IF(C27="Serviced",'HIDDEN Cashflow'!$R$17,'HIDDEN Cashflow'!$C$17+'HIDDEN Cashflow'!C21)</f>
        <v>342912.04857190163</v>
      </c>
      <c r="I29" s="60" t="s">
        <v>78</v>
      </c>
      <c r="J29" s="135">
        <v>0</v>
      </c>
      <c r="K29" s="135">
        <v>0</v>
      </c>
      <c r="L29" s="135">
        <v>0</v>
      </c>
      <c r="M29" s="135">
        <f t="shared" si="0"/>
        <v>0</v>
      </c>
      <c r="N29" s="135"/>
      <c r="O29" s="135" t="s">
        <v>62</v>
      </c>
      <c r="P29" s="340"/>
    </row>
    <row r="30" spans="1:19" ht="16">
      <c r="A30" s="70"/>
      <c r="B30" s="54" t="s">
        <v>79</v>
      </c>
      <c r="C30" s="66">
        <f>IF(C27="Rolled",'HIDDEN Cashflow'!C64,'HIDDEN Cashflow'!R64)</f>
        <v>0.22867803238126774</v>
      </c>
      <c r="I30" s="60" t="s">
        <v>80</v>
      </c>
      <c r="J30" s="135">
        <v>0</v>
      </c>
      <c r="K30" s="135">
        <v>0</v>
      </c>
      <c r="L30" s="135">
        <v>0</v>
      </c>
      <c r="M30" s="135">
        <f t="shared" si="0"/>
        <v>0</v>
      </c>
      <c r="N30" s="135"/>
      <c r="O30" s="135" t="s">
        <v>62</v>
      </c>
      <c r="P30" s="340"/>
    </row>
    <row r="31" spans="1:19" ht="17">
      <c r="A31" s="128" t="str">
        <f>IF(C30&lt;C31,"OK","LTV too high")</f>
        <v>OK</v>
      </c>
      <c r="B31" s="54" t="s">
        <v>81</v>
      </c>
      <c r="C31" s="66">
        <f>_xlfn.XLOOKUP(C14,Products!B:B,Products!D:D,0,0,1)</f>
        <v>0.5</v>
      </c>
      <c r="I31" s="60" t="s">
        <v>82</v>
      </c>
      <c r="J31" s="135">
        <v>0</v>
      </c>
      <c r="K31" s="135">
        <v>0</v>
      </c>
      <c r="L31" s="135">
        <v>0</v>
      </c>
      <c r="M31" s="135">
        <f t="shared" si="0"/>
        <v>0</v>
      </c>
      <c r="N31" s="135"/>
      <c r="O31" s="135" t="s">
        <v>62</v>
      </c>
      <c r="P31" s="341"/>
    </row>
    <row r="32" spans="1:19">
      <c r="A32" s="70"/>
      <c r="B32" s="54" t="s">
        <v>83</v>
      </c>
      <c r="C32" s="67" t="str">
        <f>IF(C27="Serviced",'HIDDEN Cashflow'!$R$18,'HIDDEN Cashflow'!$C$18)</f>
        <v>NONE</v>
      </c>
    </row>
    <row r="33" spans="1:16">
      <c r="A33" s="70"/>
      <c r="B33" s="210"/>
      <c r="C33" s="57" t="s">
        <v>84</v>
      </c>
      <c r="J33" s="213">
        <f>SUM(J22:J32)</f>
        <v>1500000</v>
      </c>
      <c r="K33" s="213">
        <f>SUM(K22:K32)</f>
        <v>1700000</v>
      </c>
      <c r="L33" s="213">
        <f>SUM(L22:L31)</f>
        <v>950000</v>
      </c>
      <c r="M33" s="213">
        <f>SUM(M22:M31)</f>
        <v>1500000</v>
      </c>
      <c r="N33" s="213">
        <f>SUM(N22:N31)</f>
        <v>1125000</v>
      </c>
    </row>
    <row r="34" spans="1:16" ht="32">
      <c r="A34" s="70"/>
      <c r="B34" s="59"/>
      <c r="C34" s="68"/>
      <c r="D34" s="69" t="s">
        <v>85</v>
      </c>
      <c r="E34"/>
      <c r="F34"/>
      <c r="G34"/>
      <c r="H34" s="73"/>
    </row>
    <row r="35" spans="1:16" ht="16">
      <c r="A35" s="70"/>
      <c r="B35" s="60" t="s">
        <v>86</v>
      </c>
      <c r="C35" s="133">
        <v>1000</v>
      </c>
      <c r="D35" s="61" t="s">
        <v>87</v>
      </c>
      <c r="E35"/>
      <c r="F35"/>
      <c r="G35"/>
      <c r="H35" s="182" t="s">
        <v>88</v>
      </c>
      <c r="N35" s="183" t="s">
        <v>89</v>
      </c>
    </row>
    <row r="36" spans="1:16" ht="44" thickBot="1">
      <c r="A36" s="70"/>
      <c r="B36" s="60" t="s">
        <v>90</v>
      </c>
      <c r="C36" s="133">
        <v>1000</v>
      </c>
      <c r="D36" s="61" t="s">
        <v>87</v>
      </c>
      <c r="E36"/>
      <c r="F36"/>
      <c r="G36"/>
      <c r="H36" s="171" t="s">
        <v>91</v>
      </c>
      <c r="I36" s="172"/>
      <c r="J36" s="172"/>
      <c r="K36" s="173" t="s">
        <v>92</v>
      </c>
      <c r="L36" s="174"/>
      <c r="N36" s="198" t="s">
        <v>93</v>
      </c>
      <c r="O36" s="199" t="s">
        <v>94</v>
      </c>
      <c r="P36" s="200" t="s">
        <v>95</v>
      </c>
    </row>
    <row r="37" spans="1:16" ht="16">
      <c r="A37" s="70"/>
      <c r="B37" s="60" t="s">
        <v>96</v>
      </c>
      <c r="C37" s="65">
        <f>'HIDDEN Cashflow'!C14</f>
        <v>6200</v>
      </c>
      <c r="D37" s="61" t="s">
        <v>97</v>
      </c>
      <c r="E37"/>
      <c r="F37"/>
      <c r="G37"/>
      <c r="H37" s="175"/>
      <c r="I37" s="176" t="s">
        <v>98</v>
      </c>
      <c r="J37" s="176" t="s">
        <v>99</v>
      </c>
      <c r="K37" s="177" t="s">
        <v>31</v>
      </c>
      <c r="L37" s="178" t="s">
        <v>99</v>
      </c>
      <c r="N37" s="188" t="s">
        <v>100</v>
      </c>
      <c r="O37" s="194" t="s">
        <v>101</v>
      </c>
      <c r="P37" s="195" t="s">
        <v>102</v>
      </c>
    </row>
    <row r="38" spans="1:16" ht="17" thickBot="1">
      <c r="A38" s="70"/>
      <c r="B38" s="60" t="s">
        <v>103</v>
      </c>
      <c r="C38" s="133">
        <v>25</v>
      </c>
      <c r="D38" s="61" t="s">
        <v>97</v>
      </c>
      <c r="H38" s="179" t="s">
        <v>104</v>
      </c>
      <c r="I38" s="180" t="s">
        <v>105</v>
      </c>
      <c r="J38" s="180" t="s">
        <v>105</v>
      </c>
      <c r="K38" s="180" t="s">
        <v>105</v>
      </c>
      <c r="L38" s="181" t="s">
        <v>105</v>
      </c>
      <c r="N38" s="189" t="s">
        <v>106</v>
      </c>
      <c r="O38" s="194" t="s">
        <v>107</v>
      </c>
      <c r="P38" s="195" t="s">
        <v>102</v>
      </c>
    </row>
    <row r="39" spans="1:16" ht="16">
      <c r="A39" s="70"/>
      <c r="B39" s="60" t="s">
        <v>108</v>
      </c>
      <c r="C39" s="133">
        <v>150</v>
      </c>
      <c r="D39" s="61" t="s">
        <v>97</v>
      </c>
      <c r="H39" s="167" t="s">
        <v>109</v>
      </c>
      <c r="I39" s="168" t="s">
        <v>110</v>
      </c>
      <c r="J39" s="169" t="s">
        <v>111</v>
      </c>
      <c r="K39" s="169" t="s">
        <v>112</v>
      </c>
      <c r="L39" s="170" t="s">
        <v>113</v>
      </c>
      <c r="N39" s="189" t="s">
        <v>114</v>
      </c>
      <c r="O39" s="194" t="s">
        <v>115</v>
      </c>
      <c r="P39" s="195" t="s">
        <v>116</v>
      </c>
    </row>
    <row r="40" spans="1:16" ht="16">
      <c r="A40" s="70" t="s">
        <v>117</v>
      </c>
      <c r="B40" s="60" t="s">
        <v>118</v>
      </c>
      <c r="C40" s="133">
        <v>400</v>
      </c>
      <c r="D40" s="51" t="s">
        <v>87</v>
      </c>
      <c r="H40" s="162" t="s">
        <v>119</v>
      </c>
      <c r="I40" s="161" t="s">
        <v>112</v>
      </c>
      <c r="J40" s="161" t="s">
        <v>113</v>
      </c>
      <c r="K40" s="161" t="s">
        <v>120</v>
      </c>
      <c r="L40" s="163" t="s">
        <v>120</v>
      </c>
      <c r="N40" s="189" t="s">
        <v>121</v>
      </c>
      <c r="O40" s="194" t="s">
        <v>122</v>
      </c>
      <c r="P40" s="195" t="s">
        <v>116</v>
      </c>
    </row>
    <row r="41" spans="1:16" ht="16">
      <c r="A41" s="70" t="s">
        <v>123</v>
      </c>
      <c r="B41" s="60" t="s">
        <v>105</v>
      </c>
      <c r="C41" s="133">
        <v>1000</v>
      </c>
      <c r="D41" s="51" t="s">
        <v>87</v>
      </c>
      <c r="H41" s="162" t="s">
        <v>124</v>
      </c>
      <c r="I41" s="161" t="s">
        <v>120</v>
      </c>
      <c r="J41" s="161" t="s">
        <v>120</v>
      </c>
      <c r="K41" s="161" t="s">
        <v>125</v>
      </c>
      <c r="L41" s="163" t="s">
        <v>126</v>
      </c>
      <c r="N41" s="189" t="s">
        <v>127</v>
      </c>
      <c r="O41" s="194" t="s">
        <v>128</v>
      </c>
      <c r="P41" s="195" t="s">
        <v>129</v>
      </c>
    </row>
    <row r="42" spans="1:16" ht="42">
      <c r="A42" s="70" t="s">
        <v>130</v>
      </c>
      <c r="B42" s="60" t="s">
        <v>131</v>
      </c>
      <c r="C42" s="134">
        <v>105</v>
      </c>
      <c r="D42" s="221" t="s">
        <v>132</v>
      </c>
      <c r="E42" s="221"/>
      <c r="F42" s="55"/>
      <c r="G42" s="55"/>
      <c r="H42" s="162" t="s">
        <v>133</v>
      </c>
      <c r="I42" s="161" t="s">
        <v>126</v>
      </c>
      <c r="J42" s="161" t="s">
        <v>126</v>
      </c>
      <c r="K42" s="161" t="s">
        <v>134</v>
      </c>
      <c r="L42" s="163" t="s">
        <v>134</v>
      </c>
      <c r="N42" s="189" t="s">
        <v>135</v>
      </c>
      <c r="O42" s="194" t="s">
        <v>136</v>
      </c>
      <c r="P42" s="195" t="s">
        <v>137</v>
      </c>
    </row>
    <row r="43" spans="1:16" ht="17" thickBot="1">
      <c r="C43" s="57"/>
      <c r="H43" s="201" t="s">
        <v>138</v>
      </c>
      <c r="I43" s="165" t="s">
        <v>139</v>
      </c>
      <c r="J43" s="165" t="s">
        <v>139</v>
      </c>
      <c r="K43" s="165" t="s">
        <v>139</v>
      </c>
      <c r="L43" s="166" t="s">
        <v>139</v>
      </c>
      <c r="N43" s="189" t="s">
        <v>140</v>
      </c>
      <c r="O43" s="194" t="s">
        <v>141</v>
      </c>
      <c r="P43" s="195" t="s">
        <v>137</v>
      </c>
    </row>
    <row r="44" spans="1:16">
      <c r="B44" s="54" t="s">
        <v>142</v>
      </c>
      <c r="C44" s="65">
        <f>IF(C27="Rolled",'HIDDEN Cashflow'!C66,'HIDDEN Cashflow'!R66)</f>
        <v>343017.04857190163</v>
      </c>
      <c r="N44" s="189" t="s">
        <v>143</v>
      </c>
      <c r="O44" s="194" t="s">
        <v>144</v>
      </c>
      <c r="P44" s="195" t="s">
        <v>145</v>
      </c>
    </row>
    <row r="45" spans="1:16" ht="16" thickBot="1">
      <c r="B45" s="54" t="s">
        <v>146</v>
      </c>
      <c r="C45" s="249">
        <f>IF(C27="Rolled",'HIDDEN Cashflow'!C67,'HIDDEN Cashflow'!R67)</f>
        <v>1.106506608296457</v>
      </c>
      <c r="N45" s="189" t="s">
        <v>147</v>
      </c>
      <c r="O45" s="194" t="s">
        <v>148</v>
      </c>
      <c r="P45" s="195" t="s">
        <v>145</v>
      </c>
    </row>
    <row r="46" spans="1:16">
      <c r="B46" s="54" t="s">
        <v>149</v>
      </c>
      <c r="C46" s="64">
        <f>IF(C27="Rolled",'HIDDEN Cashflow'!C68,'HIDDEN Cashflow'!R68)</f>
        <v>9.8777068716845662E-2</v>
      </c>
      <c r="H46" s="184" t="s">
        <v>150</v>
      </c>
      <c r="I46" s="185"/>
      <c r="N46" s="189" t="s">
        <v>151</v>
      </c>
      <c r="O46" s="194" t="s">
        <v>152</v>
      </c>
      <c r="P46" s="195" t="s">
        <v>153</v>
      </c>
    </row>
    <row r="47" spans="1:16">
      <c r="H47" s="186" t="s">
        <v>154</v>
      </c>
      <c r="I47" s="187" t="s">
        <v>105</v>
      </c>
      <c r="N47" s="189" t="s">
        <v>155</v>
      </c>
      <c r="O47" s="194" t="s">
        <v>156</v>
      </c>
      <c r="P47" s="195" t="s">
        <v>157</v>
      </c>
    </row>
    <row r="48" spans="1:16" ht="16" thickBot="1">
      <c r="H48" s="162" t="s">
        <v>158</v>
      </c>
      <c r="I48" s="163" t="s">
        <v>159</v>
      </c>
      <c r="N48" s="189" t="s">
        <v>160</v>
      </c>
      <c r="O48" s="194" t="s">
        <v>161</v>
      </c>
      <c r="P48" s="195" t="s">
        <v>162</v>
      </c>
    </row>
    <row r="49" spans="1:16">
      <c r="A49" s="342" t="s">
        <v>96</v>
      </c>
      <c r="B49" s="344" t="s">
        <v>163</v>
      </c>
      <c r="C49" s="344" t="s">
        <v>164</v>
      </c>
      <c r="D49" s="344" t="s">
        <v>165</v>
      </c>
      <c r="E49" s="344" t="s">
        <v>166</v>
      </c>
      <c r="F49" s="344" t="s">
        <v>167</v>
      </c>
      <c r="H49" s="162" t="s">
        <v>168</v>
      </c>
      <c r="I49" s="163" t="s">
        <v>159</v>
      </c>
      <c r="N49" s="189" t="s">
        <v>169</v>
      </c>
      <c r="O49" s="194" t="s">
        <v>170</v>
      </c>
      <c r="P49" s="195" t="s">
        <v>171</v>
      </c>
    </row>
    <row r="50" spans="1:16" ht="16" thickBot="1">
      <c r="A50" s="343"/>
      <c r="B50" s="345"/>
      <c r="C50" s="345"/>
      <c r="D50" s="345"/>
      <c r="E50" s="345"/>
      <c r="F50" s="345"/>
      <c r="H50" s="162" t="s">
        <v>172</v>
      </c>
      <c r="I50" s="163" t="s">
        <v>173</v>
      </c>
      <c r="N50" s="189" t="s">
        <v>174</v>
      </c>
      <c r="O50" s="194" t="s">
        <v>175</v>
      </c>
      <c r="P50" s="195" t="s">
        <v>176</v>
      </c>
    </row>
    <row r="51" spans="1:16" ht="16" thickBot="1">
      <c r="A51" s="207">
        <f>C51*2%</f>
        <v>19026</v>
      </c>
      <c r="B51" s="209">
        <f>SUMIFS(C35:C41, D35:D41, "Yes") -C37</f>
        <v>175</v>
      </c>
      <c r="C51" s="215">
        <v>951300</v>
      </c>
      <c r="D51" s="208">
        <f>((C51+B51)*10.44%)-C42</f>
        <v>99228.989999999991</v>
      </c>
      <c r="E51" s="208">
        <f>SUM(B51:D51)</f>
        <v>1050703.99</v>
      </c>
      <c r="F51" s="208">
        <f>E51-N33</f>
        <v>-74296.010000000009</v>
      </c>
      <c r="H51" s="164" t="s">
        <v>177</v>
      </c>
      <c r="I51" s="166" t="s">
        <v>178</v>
      </c>
      <c r="N51" s="189" t="s">
        <v>179</v>
      </c>
      <c r="O51" s="194" t="s">
        <v>180</v>
      </c>
      <c r="P51" s="195" t="s">
        <v>181</v>
      </c>
    </row>
    <row r="52" spans="1:16">
      <c r="F52" s="218"/>
      <c r="N52" s="189" t="s">
        <v>182</v>
      </c>
      <c r="O52" s="194" t="s">
        <v>183</v>
      </c>
      <c r="P52" s="195" t="s">
        <v>184</v>
      </c>
    </row>
    <row r="53" spans="1:16">
      <c r="B53" s="206"/>
      <c r="F53" s="220"/>
      <c r="N53" s="189" t="s">
        <v>185</v>
      </c>
      <c r="O53" s="194" t="s">
        <v>186</v>
      </c>
      <c r="P53" s="195" t="s">
        <v>187</v>
      </c>
    </row>
    <row r="54" spans="1:16">
      <c r="F54" s="219"/>
      <c r="N54" s="189" t="s">
        <v>188</v>
      </c>
      <c r="O54" s="194" t="s">
        <v>189</v>
      </c>
      <c r="P54" s="195" t="s">
        <v>190</v>
      </c>
    </row>
    <row r="55" spans="1:16">
      <c r="F55" s="219"/>
      <c r="N55" s="189" t="s">
        <v>191</v>
      </c>
      <c r="O55" s="194" t="s">
        <v>192</v>
      </c>
      <c r="P55" s="195" t="s">
        <v>193</v>
      </c>
    </row>
    <row r="56" spans="1:16">
      <c r="F56" s="219"/>
      <c r="N56" s="189" t="s">
        <v>194</v>
      </c>
      <c r="O56" s="194" t="s">
        <v>195</v>
      </c>
      <c r="P56" s="195" t="s">
        <v>196</v>
      </c>
    </row>
    <row r="57" spans="1:16">
      <c r="B57" s="212"/>
      <c r="N57" s="189" t="s">
        <v>197</v>
      </c>
      <c r="O57" s="194" t="s">
        <v>198</v>
      </c>
      <c r="P57" s="195" t="s">
        <v>199</v>
      </c>
    </row>
    <row r="58" spans="1:16" ht="16" thickBot="1">
      <c r="N58" s="190" t="s">
        <v>200</v>
      </c>
      <c r="O58" s="196" t="s">
        <v>201</v>
      </c>
      <c r="P58" s="197" t="s">
        <v>202</v>
      </c>
    </row>
    <row r="59" spans="1:16" ht="16" thickBot="1">
      <c r="B59" s="210"/>
    </row>
    <row r="60" spans="1:16" ht="16" thickBot="1">
      <c r="B60" s="210"/>
      <c r="C60" s="210"/>
      <c r="E60" s="210"/>
      <c r="N60" s="191" t="s">
        <v>203</v>
      </c>
      <c r="O60" s="192" t="s">
        <v>101</v>
      </c>
      <c r="P60" s="193" t="s">
        <v>128</v>
      </c>
    </row>
    <row r="61" spans="1:16" ht="16">
      <c r="B61" s="211"/>
      <c r="C61" s="210"/>
    </row>
    <row r="65" spans="2:2" ht="17">
      <c r="B65" s="214"/>
    </row>
    <row r="66" spans="2:2" ht="17">
      <c r="B66" s="214"/>
    </row>
  </sheetData>
  <mergeCells count="9">
    <mergeCell ref="J14:M14"/>
    <mergeCell ref="J16:K16"/>
    <mergeCell ref="P22:P31"/>
    <mergeCell ref="A49:A50"/>
    <mergeCell ref="C49:C50"/>
    <mergeCell ref="D49:D50"/>
    <mergeCell ref="B49:B50"/>
    <mergeCell ref="F49:F50"/>
    <mergeCell ref="E49:E50"/>
  </mergeCells>
  <phoneticPr fontId="10" type="noConversion"/>
  <dataValidations count="11">
    <dataValidation type="list" allowBlank="1" showInputMessage="1" showErrorMessage="1" sqref="C27" xr:uid="{2FC8B5CB-C219-4DFB-BAD2-C5BB16DE8CED}">
      <formula1>"Rolled, Serviced"</formula1>
    </dataValidation>
    <dataValidation type="list" allowBlank="1" showInputMessage="1" showErrorMessage="1" sqref="C18" xr:uid="{52C3F882-12AA-45C0-B80D-954BF5DE61D8}">
      <formula1>"Connells, Allied, AVM"</formula1>
    </dataValidation>
    <dataValidation type="list" allowBlank="1" showInputMessage="1" showErrorMessage="1" sqref="C17" xr:uid="{F156CB30-D6E6-48D6-9BA6-69751B596D5A}">
      <formula1>"Standard, Light Refurbishment, Heavy Refurbishment"</formula1>
    </dataValidation>
    <dataValidation type="list" allowBlank="1" showInputMessage="1" showErrorMessage="1" sqref="C16" xr:uid="{591E1CEB-3AE7-47B2-9EDE-FC71D2C890E9}">
      <formula1>"Purchase, Remortgage"</formula1>
    </dataValidation>
    <dataValidation type="list" allowBlank="1" showInputMessage="1" showErrorMessage="1" sqref="C11" xr:uid="{53C1A761-2E2A-497F-A500-458538AF28F2}">
      <formula1>"Sale of security, Sale of another property, Refinance, Maturity of investments, Other"</formula1>
    </dataValidation>
    <dataValidation type="list" allowBlank="1" showInputMessage="1" showErrorMessage="1" sqref="O22:O31" xr:uid="{9C896879-37A7-4D12-A15F-F76A64026668}">
      <formula1>"Y,N"</formula1>
    </dataValidation>
    <dataValidation type="list" allowBlank="1" showInputMessage="1" showErrorMessage="1" sqref="D35:D39" xr:uid="{C3EFC6FF-B5A3-472F-81BD-61C3CED5AB16}">
      <formula1>"Yes, No"</formula1>
    </dataValidation>
    <dataValidation type="list" allowBlank="1" showInputMessage="1" showErrorMessage="1" sqref="J16:K16" xr:uid="{663C07F4-45F1-4E4A-9880-833546227339}">
      <formula1>"SPF, Capital B, Positive Lending, Crystal Mortgages, Complete FS"</formula1>
    </dataValidation>
    <dataValidation type="list" allowBlank="1" showInputMessage="1" showErrorMessage="1" sqref="C38" xr:uid="{8F74488B-05E0-4B0E-B4BD-2B35D9AD5550}">
      <formula1>"25"</formula1>
    </dataValidation>
    <dataValidation type="list" allowBlank="1" showInputMessage="1" showErrorMessage="1" sqref="C39" xr:uid="{5B1B171D-2D65-469D-974F-F1D9CBAFE596}">
      <formula1>"150"</formula1>
    </dataValidation>
    <dataValidation type="list" allowBlank="1" showInputMessage="1" showErrorMessage="1" sqref="C42" xr:uid="{8D78DF42-A2DC-41BC-8010-1CCF566B0D20}">
      <formula1>"105"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1E88B4-DF5C-40A4-BCC1-48452D55E3B7}">
          <x14:formula1>
            <xm:f>Products!$B$3:$B$20</xm:f>
          </x14:formula1>
          <xm:sqref>C14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50430-60EE-4A28-989E-7BC608DF3238}">
  <dimension ref="B1:D70"/>
  <sheetViews>
    <sheetView showGridLines="0" view="pageLayout" topLeftCell="A47" zoomScaleNormal="100" workbookViewId="0">
      <selection activeCell="C67" sqref="C67"/>
    </sheetView>
  </sheetViews>
  <sheetFormatPr baseColWidth="10" defaultColWidth="8.83203125" defaultRowHeight="15"/>
  <cols>
    <col min="1" max="1" width="2.5" customWidth="1"/>
    <col min="2" max="2" width="67.83203125" customWidth="1"/>
    <col min="3" max="3" width="31.5" style="144" customWidth="1"/>
    <col min="4" max="4" width="3.5" customWidth="1"/>
  </cols>
  <sheetData>
    <row r="1" spans="2:3" ht="10" customHeight="1"/>
    <row r="2" spans="2:3" ht="61.5" customHeight="1">
      <c r="B2" s="145" t="s">
        <v>259</v>
      </c>
    </row>
    <row r="3" spans="2:3" ht="14.5" customHeight="1">
      <c r="B3" s="145"/>
    </row>
    <row r="4" spans="2:3">
      <c r="B4" s="146" t="s">
        <v>260</v>
      </c>
      <c r="C4" s="154" t="str">
        <f>'HIDDEN Front Sheet'!C9</f>
        <v>BRI438954</v>
      </c>
    </row>
    <row r="5" spans="2:3" ht="6" customHeight="1">
      <c r="B5" s="146"/>
      <c r="C5" s="147"/>
    </row>
    <row r="6" spans="2:3">
      <c r="B6" s="146" t="s">
        <v>261</v>
      </c>
      <c r="C6" s="154" t="str">
        <f>'HIDDEN Front Sheet'!J10&amp;" "&amp;'HIDDEN Front Sheet'!K10&amp;" "&amp;'HIDDEN Front Sheet'!L10&amp;" "&amp;'HIDDEN Front Sheet'!M10</f>
        <v>Mr Chris  Borwick</v>
      </c>
    </row>
    <row r="7" spans="2:3" ht="6" customHeight="1">
      <c r="B7" s="146"/>
      <c r="C7" s="147"/>
    </row>
    <row r="8" spans="2:3">
      <c r="B8" s="146" t="s">
        <v>35</v>
      </c>
      <c r="C8" s="154" t="str">
        <f>'HIDDEN Front Sheet'!C17</f>
        <v>Standard</v>
      </c>
    </row>
    <row r="9" spans="2:3" ht="6" customHeight="1">
      <c r="B9" s="146"/>
      <c r="C9" s="147"/>
    </row>
    <row r="10" spans="2:3">
      <c r="B10" s="146" t="s">
        <v>262</v>
      </c>
      <c r="C10" s="154" t="str">
        <f>'HIDDEN Front Sheet'!C16</f>
        <v>Purchase</v>
      </c>
    </row>
    <row r="11" spans="2:3" ht="6" customHeight="1">
      <c r="B11" s="146"/>
      <c r="C11" s="147"/>
    </row>
    <row r="12" spans="2:3">
      <c r="B12" s="146" t="s">
        <v>263</v>
      </c>
      <c r="C12" s="155">
        <f>'HIDDEN Front Sheet'!K33</f>
        <v>1700000</v>
      </c>
    </row>
    <row r="13" spans="2:3" ht="6" customHeight="1">
      <c r="B13" s="146"/>
      <c r="C13" s="148"/>
    </row>
    <row r="14" spans="2:3">
      <c r="B14" s="146" t="s">
        <v>264</v>
      </c>
      <c r="C14" s="154" t="str">
        <f>'HIDDEN Front Sheet'!C27</f>
        <v>Rolled</v>
      </c>
    </row>
    <row r="15" spans="2:3" ht="6" customHeight="1">
      <c r="B15" s="146"/>
      <c r="C15" s="147"/>
    </row>
    <row r="16" spans="2:3">
      <c r="B16" s="146" t="s">
        <v>265</v>
      </c>
      <c r="C16" s="155">
        <f>'HIDDEN Cashflow'!C16</f>
        <v>310000</v>
      </c>
    </row>
    <row r="17" spans="2:3" ht="6" customHeight="1">
      <c r="B17" s="146"/>
      <c r="C17" s="148"/>
    </row>
    <row r="18" spans="2:3">
      <c r="B18" s="146" t="s">
        <v>266</v>
      </c>
      <c r="C18" s="155">
        <f>'HIDDEN Front Sheet'!C28</f>
        <v>26537.048571901658</v>
      </c>
    </row>
    <row r="19" spans="2:3" ht="6" customHeight="1">
      <c r="B19" s="146"/>
      <c r="C19" s="148"/>
    </row>
    <row r="20" spans="2:3">
      <c r="B20" s="146" t="s">
        <v>267</v>
      </c>
      <c r="C20" s="155">
        <f>'HIDDEN Front Sheet'!C29</f>
        <v>342912.04857190163</v>
      </c>
    </row>
    <row r="21" spans="2:3" ht="6" customHeight="1">
      <c r="B21" s="146"/>
      <c r="C21" s="148"/>
    </row>
    <row r="22" spans="2:3">
      <c r="B22" s="146" t="s">
        <v>268</v>
      </c>
      <c r="C22" s="156">
        <f>'HIDDEN Front Sheet'!C30</f>
        <v>0.22867803238126774</v>
      </c>
    </row>
    <row r="23" spans="2:3" ht="6" customHeight="1">
      <c r="B23" s="146"/>
      <c r="C23" s="149"/>
    </row>
    <row r="24" spans="2:3">
      <c r="B24" s="146" t="s">
        <v>269</v>
      </c>
      <c r="C24" s="154">
        <f>'HIDDEN Front Sheet'!C24</f>
        <v>12</v>
      </c>
    </row>
    <row r="25" spans="2:3" ht="6" customHeight="1">
      <c r="B25" s="146"/>
      <c r="C25" s="147"/>
    </row>
    <row r="26" spans="2:3">
      <c r="B26" s="146" t="s">
        <v>270</v>
      </c>
      <c r="C26" s="154" t="str">
        <f>'HIDDEN Front Sheet'!C32</f>
        <v>NONE</v>
      </c>
    </row>
    <row r="27" spans="2:3" ht="6" customHeight="1">
      <c r="B27" s="146"/>
      <c r="C27" s="147"/>
    </row>
    <row r="28" spans="2:3">
      <c r="B28" s="146" t="s">
        <v>271</v>
      </c>
      <c r="C28" s="157">
        <f>'HIDDEN Front Sheet'!C26/12</f>
        <v>7.0000000000000001E-3</v>
      </c>
    </row>
    <row r="29" spans="2:3" ht="6" customHeight="1">
      <c r="B29" s="146"/>
      <c r="C29" s="150"/>
    </row>
    <row r="30" spans="2:3">
      <c r="B30" s="146" t="s">
        <v>272</v>
      </c>
      <c r="C30" s="155">
        <f>'HIDDEN Front Sheet'!C37</f>
        <v>6200</v>
      </c>
    </row>
    <row r="31" spans="2:3" ht="6" customHeight="1">
      <c r="B31" s="146"/>
      <c r="C31" s="148"/>
    </row>
    <row r="32" spans="2:3">
      <c r="B32" s="146" t="s">
        <v>273</v>
      </c>
      <c r="C32" s="154" t="s">
        <v>274</v>
      </c>
    </row>
    <row r="33" spans="2:3" s="158" customFormat="1" ht="32.5" customHeight="1">
      <c r="B33" s="329" t="s">
        <v>275</v>
      </c>
      <c r="C33" s="329"/>
    </row>
    <row r="34" spans="2:3" ht="10.5" customHeight="1">
      <c r="B34" s="146"/>
      <c r="C34" s="147"/>
    </row>
    <row r="35" spans="2:3">
      <c r="B35" s="151" t="s">
        <v>276</v>
      </c>
      <c r="C35" s="147"/>
    </row>
    <row r="36" spans="2:3">
      <c r="B36" s="151" t="s">
        <v>277</v>
      </c>
      <c r="C36" s="147"/>
    </row>
    <row r="37" spans="2:3">
      <c r="B37" s="146" t="s">
        <v>278</v>
      </c>
      <c r="C37" s="155">
        <f>'HIDDEN Front Sheet'!C40</f>
        <v>400</v>
      </c>
    </row>
    <row r="38" spans="2:3">
      <c r="B38" s="146"/>
      <c r="C38" s="147"/>
    </row>
    <row r="39" spans="2:3">
      <c r="B39" s="151" t="s">
        <v>279</v>
      </c>
      <c r="C39" s="147"/>
    </row>
    <row r="40" spans="2:3">
      <c r="B40" s="146" t="s">
        <v>280</v>
      </c>
      <c r="C40" s="155">
        <v>150</v>
      </c>
    </row>
    <row r="41" spans="2:3" ht="6" customHeight="1">
      <c r="B41" s="146"/>
      <c r="C41" s="148"/>
    </row>
    <row r="42" spans="2:3">
      <c r="B42" s="146" t="s">
        <v>281</v>
      </c>
      <c r="C42" s="155">
        <v>25</v>
      </c>
    </row>
    <row r="43" spans="2:3">
      <c r="B43" s="146"/>
      <c r="C43" s="147"/>
    </row>
    <row r="44" spans="2:3">
      <c r="B44" s="151" t="s">
        <v>282</v>
      </c>
      <c r="C44" s="147"/>
    </row>
    <row r="45" spans="2:3">
      <c r="B45" s="146" t="s">
        <v>283</v>
      </c>
      <c r="C45" s="155">
        <v>105</v>
      </c>
    </row>
    <row r="46" spans="2:3">
      <c r="B46" s="146"/>
      <c r="C46" s="147"/>
    </row>
    <row r="47" spans="2:3">
      <c r="B47" s="151" t="s">
        <v>284</v>
      </c>
      <c r="C47" s="147"/>
    </row>
    <row r="48" spans="2:3">
      <c r="B48" s="146" t="s">
        <v>285</v>
      </c>
      <c r="C48" s="155">
        <f>'HIDDEN Front Sheet'!C35</f>
        <v>1000</v>
      </c>
    </row>
    <row r="49" spans="2:4" ht="6" customHeight="1">
      <c r="B49" s="146"/>
      <c r="C49" s="148"/>
    </row>
    <row r="50" spans="2:4">
      <c r="B50" s="146" t="s">
        <v>286</v>
      </c>
      <c r="C50" s="155" t="s">
        <v>287</v>
      </c>
    </row>
    <row r="51" spans="2:4" ht="6" customHeight="1">
      <c r="B51" s="146"/>
      <c r="C51" s="148"/>
    </row>
    <row r="52" spans="2:4">
      <c r="B52" s="146" t="s">
        <v>288</v>
      </c>
      <c r="C52" s="154" t="str">
        <f>'HIDDEN Front Sheet'!D35</f>
        <v>No</v>
      </c>
    </row>
    <row r="53" spans="2:4" ht="6" customHeight="1">
      <c r="B53" s="146"/>
      <c r="C53" s="147"/>
    </row>
    <row r="54" spans="2:4">
      <c r="B54" s="146" t="s">
        <v>289</v>
      </c>
      <c r="C54" s="159">
        <f>IF('HIDDEN Front Sheet'!D36="No",'HIDDEN Front Sheet'!C36,0)</f>
        <v>1000</v>
      </c>
    </row>
    <row r="55" spans="2:4" ht="6" customHeight="1">
      <c r="B55" s="146"/>
      <c r="C55" s="152"/>
    </row>
    <row r="56" spans="2:4">
      <c r="B56" s="146" t="s">
        <v>290</v>
      </c>
      <c r="C56" s="155" t="s">
        <v>287</v>
      </c>
    </row>
    <row r="57" spans="2:4" ht="6" customHeight="1">
      <c r="B57" s="146"/>
      <c r="C57" s="148"/>
    </row>
    <row r="58" spans="2:4">
      <c r="B58" s="146" t="s">
        <v>288</v>
      </c>
      <c r="C58" s="154" t="str">
        <f>'HIDDEN Front Sheet'!D36</f>
        <v>No</v>
      </c>
    </row>
    <row r="59" spans="2:4">
      <c r="B59" s="146"/>
      <c r="C59" s="147"/>
    </row>
    <row r="60" spans="2:4">
      <c r="B60" s="151" t="s">
        <v>282</v>
      </c>
      <c r="C60" s="147"/>
    </row>
    <row r="61" spans="2:4">
      <c r="B61" s="146" t="s">
        <v>291</v>
      </c>
      <c r="C61" s="155">
        <f>C16*C65</f>
        <v>6200</v>
      </c>
      <c r="D61" s="127"/>
    </row>
    <row r="62" spans="2:4" ht="6" customHeight="1">
      <c r="B62" s="146"/>
      <c r="C62" s="148"/>
      <c r="D62" s="127"/>
    </row>
    <row r="63" spans="2:4">
      <c r="B63" s="146" t="s">
        <v>292</v>
      </c>
      <c r="C63" s="147"/>
      <c r="D63" s="127"/>
    </row>
    <row r="64" spans="2:4" ht="6" customHeight="1">
      <c r="B64" s="146"/>
      <c r="C64" s="147"/>
      <c r="D64" s="127"/>
    </row>
    <row r="65" spans="2:4">
      <c r="B65" s="146" t="s">
        <v>293</v>
      </c>
      <c r="C65" s="160">
        <v>0.02</v>
      </c>
      <c r="D65" s="127"/>
    </row>
    <row r="66" spans="2:4" ht="6" customHeight="1">
      <c r="B66" s="146"/>
      <c r="C66" s="153"/>
      <c r="D66" s="127"/>
    </row>
    <row r="67" spans="2:4">
      <c r="B67" s="146" t="s">
        <v>294</v>
      </c>
      <c r="C67" s="155">
        <f>'HIDDEN Front Sheet'!C41</f>
        <v>1000</v>
      </c>
    </row>
    <row r="68" spans="2:4" s="158" customFormat="1" ht="48" customHeight="1">
      <c r="B68" s="330" t="s">
        <v>295</v>
      </c>
      <c r="C68" s="330"/>
    </row>
    <row r="69" spans="2:4" ht="26.5" customHeight="1">
      <c r="B69" s="331" t="s">
        <v>296</v>
      </c>
      <c r="C69" s="331"/>
    </row>
    <row r="70" spans="2:4">
      <c r="B70" s="146"/>
      <c r="C70" s="147"/>
    </row>
  </sheetData>
  <mergeCells count="3">
    <mergeCell ref="B33:C33"/>
    <mergeCell ref="B68:C68"/>
    <mergeCell ref="B69:C69"/>
  </mergeCells>
  <dataValidations count="3">
    <dataValidation type="list" allowBlank="1" showInputMessage="1" showErrorMessage="1" sqref="C40:C41" xr:uid="{F3B6D03B-FE48-46E0-9CC4-52240B9063EF}">
      <formula1>"150"</formula1>
    </dataValidation>
    <dataValidation type="list" allowBlank="1" showInputMessage="1" showErrorMessage="1" sqref="C42" xr:uid="{6FAFFDB8-594F-4746-823C-194FC81F9F34}">
      <formula1>"25"</formula1>
    </dataValidation>
    <dataValidation type="list" allowBlank="1" showInputMessage="1" showErrorMessage="1" sqref="C45" xr:uid="{483D6C10-67FF-4694-BE77-EAD8FAC6B9C4}">
      <formula1>"105"</formula1>
    </dataValidation>
  </dataValidations>
  <pageMargins left="0.7" right="0.7" top="0.75" bottom="0.75" header="0.3" footer="0.3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A2DD-2651-45B9-8A25-88C3603F2A29}">
  <dimension ref="A1:L31"/>
  <sheetViews>
    <sheetView showGridLines="0" zoomScale="80" zoomScaleNormal="80" workbookViewId="0">
      <selection activeCell="B11" sqref="B11"/>
    </sheetView>
  </sheetViews>
  <sheetFormatPr baseColWidth="10" defaultColWidth="8.83203125" defaultRowHeight="15"/>
  <cols>
    <col min="1" max="1" width="46.83203125" bestFit="1" customWidth="1"/>
    <col min="2" max="2" width="26.6640625" bestFit="1" customWidth="1"/>
    <col min="3" max="4" width="25.6640625" bestFit="1" customWidth="1"/>
    <col min="5" max="5" width="20.6640625" bestFit="1" customWidth="1"/>
    <col min="6" max="6" width="16.5" bestFit="1" customWidth="1"/>
    <col min="7" max="7" width="20.33203125" bestFit="1" customWidth="1"/>
    <col min="8" max="8" width="5.6640625" bestFit="1" customWidth="1"/>
    <col min="9" max="9" width="12.5" bestFit="1" customWidth="1"/>
    <col min="10" max="10" width="14.6640625" bestFit="1" customWidth="1"/>
    <col min="11" max="11" width="10.1640625" bestFit="1" customWidth="1"/>
  </cols>
  <sheetData>
    <row r="1" spans="1:12" s="51" customFormat="1"/>
    <row r="2" spans="1:12" s="51" customFormat="1"/>
    <row r="3" spans="1:12" s="51" customFormat="1"/>
    <row r="4" spans="1:12" s="51" customFormat="1">
      <c r="A4" s="72" t="s">
        <v>204</v>
      </c>
    </row>
    <row r="5" spans="1:12" s="51" customFormat="1"/>
    <row r="6" spans="1:12" s="51" customFormat="1">
      <c r="B6" s="52" t="s">
        <v>1</v>
      </c>
      <c r="C6"/>
    </row>
    <row r="7" spans="1:12" s="51" customFormat="1">
      <c r="B7" s="53" t="s">
        <v>2</v>
      </c>
      <c r="C7"/>
    </row>
    <row r="8" spans="1:12" s="51" customFormat="1"/>
    <row r="9" spans="1:12" s="51" customFormat="1">
      <c r="A9" s="54" t="s">
        <v>4</v>
      </c>
      <c r="B9" s="67" t="str">
        <f>'HIDDEN Front Sheet'!C9</f>
        <v>BRI438954</v>
      </c>
      <c r="D9" s="55"/>
      <c r="G9"/>
      <c r="H9"/>
      <c r="I9"/>
      <c r="J9"/>
      <c r="K9"/>
      <c r="L9"/>
    </row>
    <row r="10" spans="1:12" s="51" customFormat="1">
      <c r="A10" s="54" t="s">
        <v>205</v>
      </c>
      <c r="B10" s="67" t="str">
        <f>'HIDDEN AIP Terms'!C6</f>
        <v>Mr Chris  Borwick</v>
      </c>
      <c r="D10" s="55"/>
      <c r="G10"/>
      <c r="H10"/>
      <c r="I10"/>
      <c r="J10"/>
      <c r="K10"/>
      <c r="L10"/>
    </row>
    <row r="11" spans="1:12" s="51" customFormat="1">
      <c r="A11" s="54" t="s">
        <v>206</v>
      </c>
      <c r="B11" s="140"/>
      <c r="D11" s="55"/>
      <c r="G11"/>
      <c r="H11"/>
      <c r="I11"/>
      <c r="J11"/>
      <c r="K11"/>
      <c r="L11"/>
    </row>
    <row r="12" spans="1:12" s="51" customFormat="1">
      <c r="A12" s="54" t="s">
        <v>207</v>
      </c>
      <c r="B12" s="139">
        <f>IF(B11="",'HIDDEN Front Sheet'!$C$24,_xlfn.XLOOKUP(B11,'Cashflow Calculator'!$B$39:$B$62,'Cashflow Calculator'!$A$39:$A$62,0,0,1))</f>
        <v>12</v>
      </c>
      <c r="D12" s="55"/>
      <c r="G12"/>
      <c r="H12"/>
      <c r="I12"/>
      <c r="J12"/>
      <c r="K12"/>
      <c r="L12"/>
    </row>
    <row r="13" spans="1:12" s="51" customFormat="1">
      <c r="A13" s="54" t="s">
        <v>72</v>
      </c>
      <c r="B13" s="67" t="str">
        <f>'HIDDEN Front Sheet'!C27</f>
        <v>Rolled</v>
      </c>
      <c r="D13" s="55"/>
      <c r="G13"/>
      <c r="H13"/>
      <c r="I13"/>
      <c r="J13"/>
      <c r="K13"/>
      <c r="L13"/>
    </row>
    <row r="14" spans="1:12" s="51" customFormat="1">
      <c r="A14" s="70"/>
      <c r="C14" s="57"/>
      <c r="G14"/>
      <c r="H14"/>
      <c r="I14"/>
      <c r="J14"/>
      <c r="K14"/>
      <c r="L14"/>
    </row>
    <row r="19" spans="1:6">
      <c r="A19" s="54" t="s">
        <v>208</v>
      </c>
      <c r="B19" s="54" t="s">
        <v>209</v>
      </c>
      <c r="C19" s="54" t="s">
        <v>210</v>
      </c>
      <c r="D19" s="54" t="s">
        <v>211</v>
      </c>
      <c r="E19" s="54" t="s">
        <v>206</v>
      </c>
      <c r="F19" s="54" t="s">
        <v>212</v>
      </c>
    </row>
    <row r="20" spans="1:6">
      <c r="A20" s="54" t="s">
        <v>213</v>
      </c>
      <c r="B20" s="137">
        <f>'HIDDEN Front Sheet'!C21</f>
        <v>46174</v>
      </c>
      <c r="C20" s="138">
        <f>'HIDDEN Front Sheet'!$C$20</f>
        <v>100000</v>
      </c>
      <c r="D20" s="63">
        <f>'HIDDEN Front Sheet'!$C$26</f>
        <v>8.4000000000000005E-2</v>
      </c>
      <c r="E20" s="137">
        <f>IF($B$11="",'HIDDEN Front Sheet'!$C$22,'HIDDEN Redemption'!$B$11)</f>
        <v>46539</v>
      </c>
      <c r="F20" s="138">
        <f>IF($B$13="Rolled",MAX('HIDDEN Cashflow'!$D$39:$D$62),_xlfn.XLOOKUP($B$12,'HIDDEN Cashflow'!$A$39:$A$62,'HIDDEN Cashflow'!$T$39:$T$62,0,0,1))</f>
        <v>115767.64472258807</v>
      </c>
    </row>
    <row r="21" spans="1:6">
      <c r="A21" s="54" t="s">
        <v>214</v>
      </c>
      <c r="B21" s="137">
        <f>'HIDDEN Front Sheet'!D21</f>
        <v>46204</v>
      </c>
      <c r="C21" s="138">
        <f>'HIDDEN Front Sheet'!$D$20</f>
        <v>100000</v>
      </c>
      <c r="D21" s="63">
        <f>'HIDDEN Front Sheet'!$C$26</f>
        <v>8.4000000000000005E-2</v>
      </c>
      <c r="E21" s="137">
        <f>IF($B$11="",'HIDDEN Front Sheet'!$C$22,'HIDDEN Redemption'!$B$11)</f>
        <v>46539</v>
      </c>
      <c r="F21" s="138">
        <f>IF($B$13="Rolled",MAX('HIDDEN Cashflow'!$H$39:$H$62),_xlfn.XLOOKUP($B$12,'HIDDEN Cashflow'!$E$39:$E$62,'HIDDEN Cashflow'!$W$39:$W$62,0,0,1))</f>
        <v>108725.75965215456</v>
      </c>
    </row>
    <row r="22" spans="1:6">
      <c r="A22" s="54" t="s">
        <v>42</v>
      </c>
      <c r="B22" s="137">
        <f>'HIDDEN Front Sheet'!E21</f>
        <v>46235</v>
      </c>
      <c r="C22" s="138">
        <f>'HIDDEN Front Sheet'!$E$20</f>
        <v>100000</v>
      </c>
      <c r="D22" s="63">
        <f>'HIDDEN Front Sheet'!$C$26</f>
        <v>8.4000000000000005E-2</v>
      </c>
      <c r="E22" s="137">
        <f>IF($B$11="",'HIDDEN Front Sheet'!$C$22,'HIDDEN Redemption'!$B$11)</f>
        <v>46539</v>
      </c>
      <c r="F22" s="138">
        <f>IF($B$13="Rolled",MAX('HIDDEN Cashflow'!$L$39:$L$62),_xlfn.XLOOKUP($B$12,'HIDDEN Cashflow'!$I$39:$I$62,'HIDDEN Cashflow'!$Z$39:$Z$62,0,0,1))</f>
        <v>107220.55925321353</v>
      </c>
    </row>
    <row r="23" spans="1:6">
      <c r="A23" s="54" t="s">
        <v>42</v>
      </c>
      <c r="B23" s="137">
        <f>'HIDDEN Front Sheet'!F21</f>
        <v>46266</v>
      </c>
      <c r="C23" s="138">
        <f>'HIDDEN Front Sheet'!$F$20</f>
        <v>10000</v>
      </c>
      <c r="D23" s="63">
        <f>'HIDDEN Front Sheet'!$C$26</f>
        <v>8.4000000000000005E-2</v>
      </c>
      <c r="E23" s="137">
        <f>IF($B$11="",'HIDDEN Front Sheet'!$C$22,'HIDDEN Redemption'!$B$11)</f>
        <v>46539</v>
      </c>
      <c r="F23" s="138">
        <f>IF($B$13="Rolled",MAX('HIDDEN Cashflow'!$P$39:$P$62),_xlfn.XLOOKUP($B$12,'HIDDEN Cashflow'!$M$39:$M$62,'HIDDEN Cashflow'!$AC$39:$AC$62,0,0,1))</f>
        <v>11303.084943945438</v>
      </c>
    </row>
    <row r="26" spans="1:6">
      <c r="A26" s="54" t="s">
        <v>212</v>
      </c>
      <c r="B26" s="138">
        <f>SUM(F20:F23)</f>
        <v>343017.04857190163</v>
      </c>
      <c r="C26" t="b">
        <f>$B$26=IF('HIDDEN Front Sheet'!C27="Rolled",'HIDDEN Cashflow'!$C$19,'HIDDEN Cashflow'!R19)</f>
        <v>1</v>
      </c>
    </row>
    <row r="28" spans="1:6">
      <c r="A28" s="126" t="s">
        <v>215</v>
      </c>
      <c r="B28" s="138">
        <f>IF($B$13="Rolled",(_xlfn.XLOOKUP($B$12-1,'HIDDEN Cashflow'!$A$39:$A$56,'HIDDEN Cashflow'!$D$39:$D$56,0,0,1)+_xlfn.XLOOKUP($B$12-1,'HIDDEN Cashflow'!$E$39:$E$56,'HIDDEN Cashflow'!$H$39:$H$56,0,0,1)+_xlfn.XLOOKUP($B$12-1,'HIDDEN Cashflow'!$I$39:$I$56,'HIDDEN Cashflow'!$L$39:$L$56,0,0,1)+_xlfn.XLOOKUP($B$12-1,'HIDDEN Cashflow'!$M$39:$M$56,'HIDDEN Cashflow'!$P$39:$P$56,0,0,1))*'HIDDEN Cashflow'!$C$9/365,(_xlfn.XLOOKUP($B$12-1,'HIDDEN Cashflow'!$A$39:$A$56,'HIDDEN Cashflow'!$T$39:$T$56,0,0,1)+_xlfn.XLOOKUP($B$12-1,'HIDDEN Cashflow'!$E$39:$E$56,'HIDDEN Cashflow'!$W$39:$W$56,0,0,1)+_xlfn.XLOOKUP($B$12-1,'HIDDEN Cashflow'!$I$39:$I$56,'HIDDEN Cashflow'!$Z$39:$Z$56,0,0,1)+_xlfn.XLOOKUP($B$12-1,'HIDDEN Cashflow'!$M$39:$M$56,'HIDDEN Cashflow'!$AC$39:$AC$56,0,0,1))*'HIDDEN Cashflow'!$C$9/365)</f>
        <v>78.357722114122097</v>
      </c>
      <c r="C28" s="125"/>
    </row>
    <row r="29" spans="1:6">
      <c r="A29" s="126" t="s">
        <v>216</v>
      </c>
      <c r="B29" s="138">
        <f>$B$26+(B28*1)</f>
        <v>343095.40629401576</v>
      </c>
    </row>
    <row r="30" spans="1:6">
      <c r="A30" s="126" t="s">
        <v>217</v>
      </c>
      <c r="B30" s="138">
        <f>$B$26+(B28*2)</f>
        <v>343173.76401612989</v>
      </c>
    </row>
    <row r="31" spans="1:6">
      <c r="A31" s="126" t="s">
        <v>218</v>
      </c>
      <c r="B31" s="138">
        <f>$B$26+(B28*3)</f>
        <v>343252.12173824402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805E7-BF5A-4B9C-A99D-14ECB97C9B3C}">
  <dimension ref="A1:AJ78"/>
  <sheetViews>
    <sheetView showGridLines="0" topLeftCell="A2" zoomScale="90" zoomScaleNormal="90" workbookViewId="0">
      <selection activeCell="C7" sqref="C7"/>
    </sheetView>
  </sheetViews>
  <sheetFormatPr baseColWidth="10" defaultColWidth="8.83203125" defaultRowHeight="15"/>
  <cols>
    <col min="1" max="1" width="3.1640625" customWidth="1"/>
    <col min="2" max="2" width="25.6640625" customWidth="1"/>
    <col min="3" max="3" width="23.33203125" bestFit="1" customWidth="1"/>
    <col min="4" max="4" width="15" bestFit="1" customWidth="1"/>
    <col min="5" max="5" width="3.33203125" bestFit="1" customWidth="1"/>
    <col min="6" max="6" width="14" customWidth="1"/>
    <col min="7" max="7" width="12" bestFit="1" customWidth="1"/>
    <col min="8" max="8" width="12.6640625" bestFit="1" customWidth="1"/>
    <col min="9" max="9" width="3.1640625" bestFit="1" customWidth="1"/>
    <col min="10" max="10" width="14.6640625" customWidth="1"/>
    <col min="11" max="11" width="12" bestFit="1" customWidth="1"/>
    <col min="12" max="12" width="12.6640625" bestFit="1" customWidth="1"/>
    <col min="13" max="13" width="3.33203125" bestFit="1" customWidth="1"/>
    <col min="14" max="16" width="11.5" customWidth="1"/>
    <col min="17" max="17" width="25.6640625" bestFit="1" customWidth="1"/>
    <col min="18" max="18" width="15.1640625" customWidth="1"/>
    <col min="19" max="19" width="10.5" bestFit="1" customWidth="1"/>
    <col min="20" max="20" width="16.5" customWidth="1"/>
    <col min="21" max="21" width="11.83203125" bestFit="1" customWidth="1"/>
    <col min="22" max="22" width="12" bestFit="1" customWidth="1"/>
    <col min="23" max="23" width="11.5" bestFit="1" customWidth="1"/>
    <col min="24" max="24" width="11.83203125" bestFit="1" customWidth="1"/>
    <col min="25" max="25" width="11.33203125" bestFit="1" customWidth="1"/>
    <col min="26" max="26" width="11.5" bestFit="1" customWidth="1"/>
    <col min="27" max="27" width="12" bestFit="1" customWidth="1"/>
    <col min="28" max="28" width="8.5" bestFit="1" customWidth="1"/>
    <col min="29" max="29" width="10.1640625" bestFit="1" customWidth="1"/>
    <col min="30" max="30" width="13.5" bestFit="1" customWidth="1"/>
    <col min="31" max="31" width="3.1640625" bestFit="1" customWidth="1"/>
    <col min="32" max="32" width="4.1640625" bestFit="1" customWidth="1"/>
    <col min="33" max="33" width="11.83203125" bestFit="1" customWidth="1"/>
    <col min="34" max="34" width="22.5" customWidth="1"/>
    <col min="35" max="35" width="15.6640625" bestFit="1" customWidth="1"/>
    <col min="36" max="36" width="12.5" bestFit="1" customWidth="1"/>
    <col min="37" max="37" width="16.1640625" customWidth="1"/>
    <col min="38" max="38" width="13.6640625" customWidth="1"/>
    <col min="39" max="39" width="13.1640625" bestFit="1" customWidth="1"/>
    <col min="40" max="40" width="13.83203125" customWidth="1"/>
    <col min="41" max="42" width="13.1640625" bestFit="1" customWidth="1"/>
    <col min="43" max="43" width="13.6640625" customWidth="1"/>
  </cols>
  <sheetData>
    <row r="1" spans="2:18">
      <c r="B1" s="3"/>
    </row>
    <row r="2" spans="2:18" ht="16" thickBot="1">
      <c r="B2" s="74"/>
      <c r="K2" s="4"/>
    </row>
    <row r="3" spans="2:18" ht="16" thickBot="1">
      <c r="B3" s="5" t="s">
        <v>219</v>
      </c>
      <c r="C3" s="5" t="s">
        <v>220</v>
      </c>
      <c r="H3" s="4"/>
      <c r="I3" s="4"/>
      <c r="J3" s="4"/>
      <c r="Q3" s="5" t="s">
        <v>219</v>
      </c>
      <c r="R3" s="5" t="s">
        <v>221</v>
      </c>
    </row>
    <row r="4" spans="2:18">
      <c r="B4" s="1" t="s">
        <v>48</v>
      </c>
      <c r="C4" s="6">
        <f>'HIDDEN Front Sheet'!$C$21</f>
        <v>46174</v>
      </c>
      <c r="H4" s="4"/>
      <c r="I4" s="4"/>
      <c r="J4" s="4"/>
      <c r="Q4" s="1" t="s">
        <v>48</v>
      </c>
      <c r="R4" s="6">
        <f>'HIDDEN Front Sheet'!$C$21</f>
        <v>46174</v>
      </c>
    </row>
    <row r="5" spans="2:18">
      <c r="B5" s="1" t="s">
        <v>222</v>
      </c>
      <c r="C5" s="7">
        <f>'HIDDEN Front Sheet'!$C$24</f>
        <v>12</v>
      </c>
      <c r="H5" s="4"/>
      <c r="I5" s="4"/>
      <c r="J5" s="4"/>
      <c r="Q5" s="1" t="s">
        <v>222</v>
      </c>
      <c r="R5" s="7">
        <f>'HIDDEN Front Sheet'!$C$24</f>
        <v>12</v>
      </c>
    </row>
    <row r="6" spans="2:18">
      <c r="B6" s="1" t="s">
        <v>223</v>
      </c>
      <c r="C6" s="6">
        <f>'HIDDEN Front Sheet'!$C$22</f>
        <v>46539</v>
      </c>
      <c r="H6" s="4"/>
      <c r="I6" s="4"/>
      <c r="J6" s="4"/>
      <c r="Q6" s="1" t="s">
        <v>223</v>
      </c>
      <c r="R6" s="6">
        <f>'HIDDEN Front Sheet'!$C$22</f>
        <v>46539</v>
      </c>
    </row>
    <row r="7" spans="2:18">
      <c r="B7" s="1" t="s">
        <v>224</v>
      </c>
      <c r="C7" s="8">
        <f>'HIDDEN Front Sheet'!$M$33</f>
        <v>1500000</v>
      </c>
      <c r="H7" s="4"/>
      <c r="I7" s="4"/>
      <c r="J7" s="4"/>
      <c r="Q7" s="1" t="s">
        <v>224</v>
      </c>
      <c r="R7" s="8">
        <f>'HIDDEN Front Sheet'!$M$33</f>
        <v>1500000</v>
      </c>
    </row>
    <row r="8" spans="2:18">
      <c r="B8" s="1" t="s">
        <v>225</v>
      </c>
      <c r="C8" s="9">
        <v>0.75</v>
      </c>
      <c r="Q8" s="1" t="s">
        <v>225</v>
      </c>
      <c r="R8" s="14">
        <v>0.75</v>
      </c>
    </row>
    <row r="9" spans="2:18">
      <c r="B9" s="1" t="s">
        <v>226</v>
      </c>
      <c r="C9" s="10">
        <f>'HIDDEN Front Sheet'!C26</f>
        <v>8.4000000000000005E-2</v>
      </c>
      <c r="H9" s="11"/>
      <c r="I9" s="11"/>
      <c r="J9" s="11"/>
      <c r="K9" s="12"/>
      <c r="L9" s="12"/>
      <c r="M9" s="12"/>
      <c r="N9" s="12"/>
      <c r="O9" s="12"/>
      <c r="P9" s="12"/>
      <c r="Q9" s="1" t="s">
        <v>226</v>
      </c>
      <c r="R9" s="13">
        <f>'HIDDEN Front Sheet'!C26</f>
        <v>8.4000000000000005E-2</v>
      </c>
    </row>
    <row r="10" spans="2:18">
      <c r="B10" s="1" t="s">
        <v>227</v>
      </c>
      <c r="C10" s="13">
        <f>C9/12</f>
        <v>7.0000000000000001E-3</v>
      </c>
      <c r="H10" s="4"/>
      <c r="I10" s="4"/>
      <c r="J10" s="4"/>
      <c r="K10" s="12"/>
      <c r="L10" s="12"/>
      <c r="M10" s="12"/>
      <c r="N10" s="12"/>
      <c r="O10" s="12"/>
      <c r="P10" s="12"/>
      <c r="Q10" s="1" t="s">
        <v>227</v>
      </c>
      <c r="R10" s="13">
        <f>R9/12</f>
        <v>7.0000000000000001E-3</v>
      </c>
    </row>
    <row r="11" spans="2:18" ht="16" thickBot="1">
      <c r="B11" s="2" t="s">
        <v>53</v>
      </c>
      <c r="C11" s="217">
        <f>'HIDDEN Front Sheet'!N33</f>
        <v>1125000</v>
      </c>
      <c r="H11" s="4"/>
      <c r="I11" s="4"/>
      <c r="J11" s="4"/>
      <c r="K11" s="12"/>
      <c r="L11" s="12"/>
      <c r="M11" s="12"/>
      <c r="N11" s="12"/>
      <c r="O11" s="12"/>
      <c r="P11" s="12"/>
      <c r="Q11" s="2" t="s">
        <v>53</v>
      </c>
      <c r="R11" s="16">
        <f>R7*R8</f>
        <v>1125000</v>
      </c>
    </row>
    <row r="12" spans="2:18">
      <c r="B12" s="17" t="s">
        <v>228</v>
      </c>
      <c r="C12" s="18">
        <f>SUM(IF('HIDDEN Front Sheet'!D38="No",0,'HIDDEN Front Sheet'!C38),IF('HIDDEN Front Sheet'!D39="No",0,'HIDDEN Front Sheet'!C39))</f>
        <v>175</v>
      </c>
      <c r="H12" s="4"/>
      <c r="I12" s="4"/>
      <c r="J12" s="4"/>
      <c r="L12" s="12"/>
      <c r="M12" s="12"/>
      <c r="N12" s="12"/>
      <c r="O12" s="12"/>
      <c r="P12" s="12"/>
      <c r="Q12" s="17" t="s">
        <v>228</v>
      </c>
      <c r="R12" s="18">
        <f>SUM('[3]Tarriff of Fees'!$C$3:$C$4)</f>
        <v>175</v>
      </c>
    </row>
    <row r="13" spans="2:18">
      <c r="B13" s="19" t="s">
        <v>131</v>
      </c>
      <c r="C13" s="8">
        <f>'HIDDEN Front Sheet'!C42</f>
        <v>105</v>
      </c>
      <c r="H13" s="4"/>
      <c r="I13" s="4"/>
      <c r="J13" s="4"/>
      <c r="Q13" s="19" t="s">
        <v>131</v>
      </c>
      <c r="R13" s="8">
        <f>'[3]Tarriff of Fees'!$C$5</f>
        <v>105</v>
      </c>
    </row>
    <row r="14" spans="2:18" ht="33" thickBot="1">
      <c r="B14" s="20" t="s">
        <v>229</v>
      </c>
      <c r="C14" s="21">
        <f>(C15*'HIDDEN Front Sheet'!$C$15)</f>
        <v>6200</v>
      </c>
      <c r="H14" s="4"/>
      <c r="I14" s="4"/>
      <c r="J14" s="4"/>
      <c r="K14" s="12"/>
      <c r="Q14" s="20" t="s">
        <v>229</v>
      </c>
      <c r="R14" s="21">
        <f>IF('HIDDEN Front Sheet'!D37="No",0,(R15*'HIDDEN Front Sheet'!$C$15))</f>
        <v>6200</v>
      </c>
    </row>
    <row r="15" spans="2:18" ht="16">
      <c r="B15" s="22" t="s">
        <v>230</v>
      </c>
      <c r="C15" s="50">
        <f>SUM('HIDDEN Front Sheet'!C20:F20)</f>
        <v>310000</v>
      </c>
      <c r="D15" s="12"/>
      <c r="H15" s="4"/>
      <c r="I15" s="4"/>
      <c r="J15" s="4"/>
      <c r="K15" s="12"/>
      <c r="Q15" s="22" t="s">
        <v>230</v>
      </c>
      <c r="R15" s="50">
        <f>SUM('HIDDEN Front Sheet'!C20:F20)</f>
        <v>310000</v>
      </c>
    </row>
    <row r="16" spans="2:18" ht="32">
      <c r="B16" s="22" t="s">
        <v>231</v>
      </c>
      <c r="C16" s="23">
        <f>IF('HIDDEN Front Sheet'!D37="No",C15-C14,C15)</f>
        <v>310000</v>
      </c>
      <c r="H16" s="4"/>
      <c r="I16" s="4"/>
      <c r="J16" s="4"/>
      <c r="K16" s="12"/>
      <c r="L16" s="12"/>
      <c r="M16" s="12"/>
      <c r="N16" s="12"/>
      <c r="O16" s="12"/>
      <c r="P16" s="12"/>
      <c r="Q16" s="22" t="s">
        <v>231</v>
      </c>
      <c r="R16" s="8">
        <f>R15</f>
        <v>310000</v>
      </c>
    </row>
    <row r="17" spans="2:31" ht="32">
      <c r="B17" s="22" t="s">
        <v>232</v>
      </c>
      <c r="C17" s="8">
        <f>C15+C14+C12</f>
        <v>316375</v>
      </c>
      <c r="H17" s="4"/>
      <c r="I17" s="4"/>
      <c r="J17" s="4"/>
      <c r="K17" s="4"/>
      <c r="Q17" s="22" t="s">
        <v>232</v>
      </c>
      <c r="R17" s="8">
        <f>SUM(R16,R14,R12)</f>
        <v>316375</v>
      </c>
    </row>
    <row r="18" spans="2:31">
      <c r="B18" s="19" t="s">
        <v>233</v>
      </c>
      <c r="C18" s="15" t="s">
        <v>234</v>
      </c>
      <c r="H18" s="4"/>
      <c r="I18" s="4"/>
      <c r="J18" s="4"/>
      <c r="Q18" s="19" t="s">
        <v>233</v>
      </c>
      <c r="R18" s="71">
        <f>PMT(R9/12,R5,-R17,R17,0)</f>
        <v>2214.625</v>
      </c>
    </row>
    <row r="19" spans="2:31">
      <c r="B19" s="19" t="s">
        <v>235</v>
      </c>
      <c r="C19" s="8">
        <f>IF('HIDDEN Redemption'!B11="",_xlfn.XLOOKUP($C$5,$A$39:$A$62,$D$39:$D$62,0,0,1)+_xlfn.XLOOKUP($C$5,$E$39:$E$62,$H$39:$H$62,0,0,1)+_xlfn.XLOOKUP($C$5,$I$39:$I$62,$L$39:$L$62,0,0,1)+_xlfn.XLOOKUP($C$5,$M$39:$M$62,$P$39:$P$62,0,0,1),_xlfn.XLOOKUP('HIDDEN Redemption'!$B$11,$B$39:$B$62,$D$39:$D$62,0,0,1)+_xlfn.XLOOKUP('HIDDEN Redemption'!$B$11,$F$39:$F$62,$H$39:$H$62,0,0,1)+_xlfn.XLOOKUP('HIDDEN Redemption'!$B$11,$J$39:$J$62,$L$39:$L$62,0,0,1)+_xlfn.XLOOKUP('HIDDEN Redemption'!$B$11,$N$39:$N$62,$P$39:$P$62,0,0,1))</f>
        <v>343017.04857190163</v>
      </c>
      <c r="H19" s="4"/>
      <c r="I19" s="4"/>
      <c r="J19" s="4"/>
      <c r="Q19" s="19" t="s">
        <v>235</v>
      </c>
      <c r="R19" s="8">
        <f>IF('HIDDEN Redemption'!B11="",_xlfn.XLOOKUP($C$5,$A$39:$A$56,$T$39:$T$56,0,0,1)+_xlfn.XLOOKUP($C$5,$E$39:$E$56,$W$39:$W$56,0,0,1)+_xlfn.XLOOKUP($C$5,$I$39:$I$56,$Z$39:$Z$56,0,0,1)+_xlfn.XLOOKUP($C$5,$M$39:$M$56,$AC$39:$AC$56,0,0,1),_xlfn.XLOOKUP('HIDDEN Redemption'!$B$11,$B$39:$B$56,$T$39:$T$56,0,0,1)+_xlfn.XLOOKUP('HIDDEN Redemption'!$B$11,$F$39:$F$56,$W$39:$W$56,0,0,1)+_xlfn.XLOOKUP('HIDDEN Redemption'!$B$11,$J$39:$J$56,$Z$39:$Z$56,0,0,1)+_xlfn.XLOOKUP('HIDDEN Redemption'!$B$11,$N$39:$N$56,$AC$39:$AC$56,0,0,1))</f>
        <v>316458.59467685153</v>
      </c>
    </row>
    <row r="20" spans="2:31" ht="80">
      <c r="B20" s="19" t="s">
        <v>236</v>
      </c>
      <c r="C20" s="24" t="s">
        <v>237</v>
      </c>
      <c r="H20" s="4"/>
      <c r="I20" s="4"/>
      <c r="J20" s="4"/>
      <c r="K20" s="12"/>
      <c r="L20" s="12"/>
      <c r="M20" s="12"/>
      <c r="N20" s="12"/>
      <c r="O20" s="12"/>
      <c r="P20" s="12"/>
      <c r="Q20" s="19" t="s">
        <v>236</v>
      </c>
      <c r="R20" s="24" t="s">
        <v>238</v>
      </c>
    </row>
    <row r="21" spans="2:31" ht="16" thickBot="1">
      <c r="B21" s="25" t="s">
        <v>239</v>
      </c>
      <c r="C21" s="16">
        <f>SUM(C39:C62,G39:G62,K39:K62,O39:O62)</f>
        <v>26537.048571901658</v>
      </c>
      <c r="H21" s="4"/>
      <c r="I21" s="4"/>
      <c r="J21" s="4"/>
      <c r="Q21" s="25" t="s">
        <v>239</v>
      </c>
      <c r="R21" s="26">
        <v>0</v>
      </c>
      <c r="T21" s="12"/>
    </row>
    <row r="22" spans="2:31">
      <c r="C22" s="27">
        <f>SUM(C21,C16,C14,C12,C13)-C19</f>
        <v>0</v>
      </c>
      <c r="K22" s="4"/>
      <c r="R22" s="93">
        <f>SUM(R21,R16,R14,R12,R13)-R19</f>
        <v>21.405323148472235</v>
      </c>
    </row>
    <row r="25" spans="2:31">
      <c r="B25" s="101" t="s">
        <v>240</v>
      </c>
      <c r="Q25" s="74" t="s">
        <v>241</v>
      </c>
    </row>
    <row r="26" spans="2:31">
      <c r="B26" s="77"/>
      <c r="C26" s="31"/>
      <c r="D26" s="3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91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2:31">
      <c r="B27" s="28"/>
      <c r="C27" s="105" t="s">
        <v>73</v>
      </c>
      <c r="D27" s="106"/>
      <c r="E27" s="102"/>
      <c r="F27" s="102"/>
      <c r="G27" s="105" t="s">
        <v>73</v>
      </c>
      <c r="H27" s="106"/>
      <c r="I27" s="102"/>
      <c r="J27" s="102"/>
      <c r="K27" s="105" t="s">
        <v>73</v>
      </c>
      <c r="L27" s="106"/>
      <c r="M27" s="102"/>
      <c r="N27" s="102"/>
      <c r="O27" s="105" t="s">
        <v>73</v>
      </c>
      <c r="P27" s="106"/>
      <c r="Q27" s="28"/>
      <c r="R27" s="105" t="s">
        <v>221</v>
      </c>
      <c r="S27" s="106"/>
      <c r="T27" s="105" t="s">
        <v>221</v>
      </c>
      <c r="U27" s="106"/>
      <c r="V27" s="105" t="s">
        <v>221</v>
      </c>
      <c r="W27" s="106"/>
      <c r="X27" s="105" t="s">
        <v>221</v>
      </c>
      <c r="Y27" s="106"/>
      <c r="Z27" s="29"/>
      <c r="AA27" s="29"/>
      <c r="AB27" s="29"/>
      <c r="AC27" s="29"/>
    </row>
    <row r="28" spans="2:31">
      <c r="B28" s="28"/>
      <c r="C28" s="105" t="s">
        <v>213</v>
      </c>
      <c r="D28" s="106"/>
      <c r="E28" s="102"/>
      <c r="F28" s="102"/>
      <c r="G28" s="105" t="s">
        <v>41</v>
      </c>
      <c r="H28" s="106"/>
      <c r="I28" s="102"/>
      <c r="J28" s="102"/>
      <c r="K28" s="105" t="s">
        <v>42</v>
      </c>
      <c r="L28" s="106"/>
      <c r="M28" s="102"/>
      <c r="N28" s="102"/>
      <c r="O28" s="105" t="s">
        <v>43</v>
      </c>
      <c r="P28" s="106"/>
      <c r="Q28" s="28"/>
      <c r="R28" s="105" t="s">
        <v>213</v>
      </c>
      <c r="S28" s="106"/>
      <c r="T28" s="105" t="s">
        <v>41</v>
      </c>
      <c r="U28" s="106"/>
      <c r="V28" s="105" t="s">
        <v>42</v>
      </c>
      <c r="W28" s="106"/>
      <c r="X28" s="105" t="s">
        <v>43</v>
      </c>
      <c r="Y28" s="106"/>
      <c r="Z28" s="29"/>
      <c r="AA28" s="29"/>
      <c r="AB28" s="29"/>
      <c r="AC28" s="29"/>
    </row>
    <row r="29" spans="2:31">
      <c r="B29" s="28"/>
      <c r="C29" s="34" t="s">
        <v>242</v>
      </c>
      <c r="D29" s="116">
        <f>'HIDDEN Front Sheet'!C20</f>
        <v>100000</v>
      </c>
      <c r="E29" s="102"/>
      <c r="F29" s="102"/>
      <c r="G29" s="117" t="s">
        <v>242</v>
      </c>
      <c r="H29" s="116">
        <f>MAX('HIDDEN Front Sheet'!$D$20,0)</f>
        <v>100000</v>
      </c>
      <c r="I29" s="118"/>
      <c r="J29" s="118"/>
      <c r="K29" s="117" t="s">
        <v>242</v>
      </c>
      <c r="L29" s="116">
        <f>MAX('HIDDEN Front Sheet'!$E$20,0)</f>
        <v>100000</v>
      </c>
      <c r="M29" s="118"/>
      <c r="N29" s="118"/>
      <c r="O29" s="117" t="s">
        <v>242</v>
      </c>
      <c r="P29" s="116">
        <f>MAX('HIDDEN Front Sheet'!$F$20,0)</f>
        <v>10000</v>
      </c>
      <c r="Q29" s="94"/>
      <c r="R29" s="85" t="s">
        <v>243</v>
      </c>
      <c r="S29" s="116">
        <f>'HIDDEN Front Sheet'!C20</f>
        <v>100000</v>
      </c>
      <c r="T29" s="117" t="s">
        <v>242</v>
      </c>
      <c r="U29" s="116">
        <f>MAX('HIDDEN Front Sheet'!$D$20,0)</f>
        <v>100000</v>
      </c>
      <c r="V29" s="117" t="s">
        <v>242</v>
      </c>
      <c r="W29" s="116">
        <f>MAX('HIDDEN Front Sheet'!$E$20,0)</f>
        <v>100000</v>
      </c>
      <c r="X29" s="117" t="s">
        <v>242</v>
      </c>
      <c r="Y29" s="116">
        <f>MAX('HIDDEN Front Sheet'!$F$20,0)</f>
        <v>10000</v>
      </c>
      <c r="Z29" s="29"/>
      <c r="AA29" s="29"/>
      <c r="AB29" s="29"/>
      <c r="AC29" s="29"/>
      <c r="AD29" s="35"/>
      <c r="AE29" s="35"/>
    </row>
    <row r="30" spans="2:31">
      <c r="B30" s="28"/>
      <c r="C30" s="36" t="s">
        <v>244</v>
      </c>
      <c r="D30" s="30">
        <f>$C$12</f>
        <v>175</v>
      </c>
      <c r="E30" s="102"/>
      <c r="F30" s="102"/>
      <c r="G30" s="36" t="s">
        <v>48</v>
      </c>
      <c r="H30" s="104">
        <f>MIN('HIDDEN Front Sheet'!$D$21,EDATE($C$6,0))</f>
        <v>46204</v>
      </c>
      <c r="I30" s="102"/>
      <c r="J30" s="102"/>
      <c r="K30" s="36" t="s">
        <v>48</v>
      </c>
      <c r="L30" s="104">
        <f>MIN('HIDDEN Front Sheet'!$E$21,EDATE($C$6,0))</f>
        <v>46235</v>
      </c>
      <c r="M30" s="102"/>
      <c r="N30" s="102"/>
      <c r="O30" s="36" t="s">
        <v>48</v>
      </c>
      <c r="P30" s="104">
        <f>MIN('HIDDEN Front Sheet'!$F$21,EDATE($C$6,0))</f>
        <v>46266</v>
      </c>
      <c r="Q30" s="94"/>
      <c r="R30" s="75" t="s">
        <v>244</v>
      </c>
      <c r="S30" s="30">
        <f>R12</f>
        <v>175</v>
      </c>
      <c r="T30" s="36" t="s">
        <v>48</v>
      </c>
      <c r="U30" s="104">
        <f>H30</f>
        <v>46204</v>
      </c>
      <c r="V30" s="36" t="s">
        <v>48</v>
      </c>
      <c r="W30" s="104">
        <f>L30</f>
        <v>46235</v>
      </c>
      <c r="X30" s="36" t="s">
        <v>48</v>
      </c>
      <c r="Y30" s="104">
        <f>P30</f>
        <v>46266</v>
      </c>
      <c r="Z30" s="29"/>
      <c r="AA30" s="29"/>
      <c r="AB30" s="29"/>
      <c r="AC30" s="29"/>
    </row>
    <row r="31" spans="2:31">
      <c r="B31" s="28"/>
      <c r="C31" s="36" t="s">
        <v>131</v>
      </c>
      <c r="D31" s="30">
        <f>$C$13</f>
        <v>105</v>
      </c>
      <c r="E31" s="102"/>
      <c r="F31" s="102"/>
      <c r="G31" s="36"/>
      <c r="H31" s="30"/>
      <c r="I31" s="102"/>
      <c r="J31" s="102"/>
      <c r="K31" s="36"/>
      <c r="L31" s="30"/>
      <c r="M31" s="102"/>
      <c r="N31" s="102"/>
      <c r="O31" s="36"/>
      <c r="P31" s="30"/>
      <c r="Q31" s="94"/>
      <c r="R31" s="75" t="s">
        <v>131</v>
      </c>
      <c r="S31" s="30">
        <f>$C$13</f>
        <v>105</v>
      </c>
      <c r="T31" s="36"/>
      <c r="U31" s="30"/>
      <c r="V31" s="36"/>
      <c r="W31" s="30"/>
      <c r="X31" s="36"/>
      <c r="Y31" s="30"/>
      <c r="Z31" s="29"/>
      <c r="AA31" s="29"/>
      <c r="AB31" s="29"/>
      <c r="AC31" s="29"/>
    </row>
    <row r="32" spans="2:31">
      <c r="B32" s="28"/>
      <c r="C32" s="36" t="s">
        <v>245</v>
      </c>
      <c r="D32" s="30">
        <f>IF('HIDDEN Front Sheet'!D35="No",0,'HIDDEN Front Sheet'!C35)</f>
        <v>0</v>
      </c>
      <c r="E32" s="102"/>
      <c r="F32" s="102"/>
      <c r="G32" s="36"/>
      <c r="H32" s="30"/>
      <c r="I32" s="102"/>
      <c r="J32" s="102"/>
      <c r="K32" s="36"/>
      <c r="L32" s="30"/>
      <c r="M32" s="102"/>
      <c r="N32" s="102"/>
      <c r="O32" s="36"/>
      <c r="P32" s="30"/>
      <c r="Q32" s="94"/>
      <c r="R32" s="75" t="s">
        <v>246</v>
      </c>
      <c r="S32" s="30">
        <f>IF('HIDDEN Front Sheet'!D35="No",0,'HIDDEN Front Sheet'!C35)</f>
        <v>0</v>
      </c>
      <c r="T32" s="36"/>
      <c r="U32" s="30"/>
      <c r="V32" s="36"/>
      <c r="W32" s="30"/>
      <c r="X32" s="36"/>
      <c r="Y32" s="30"/>
      <c r="Z32" s="29"/>
      <c r="AA32" s="29"/>
      <c r="AB32" s="29"/>
      <c r="AC32" s="29"/>
    </row>
    <row r="33" spans="1:36">
      <c r="B33" s="28"/>
      <c r="C33" s="36" t="s">
        <v>90</v>
      </c>
      <c r="D33" s="30">
        <f>IF('HIDDEN Front Sheet'!D36="No",0,'HIDDEN Front Sheet'!C36)</f>
        <v>0</v>
      </c>
      <c r="E33" s="102"/>
      <c r="F33" s="102"/>
      <c r="G33" s="36"/>
      <c r="H33" s="30"/>
      <c r="I33" s="102"/>
      <c r="J33" s="102"/>
      <c r="K33" s="36"/>
      <c r="L33" s="30"/>
      <c r="M33" s="102"/>
      <c r="N33" s="102"/>
      <c r="O33" s="36"/>
      <c r="P33" s="30"/>
      <c r="Q33" s="94"/>
      <c r="R33" s="75" t="s">
        <v>247</v>
      </c>
      <c r="S33" s="30">
        <f>IF('HIDDEN Front Sheet'!D36="No",0,'HIDDEN Front Sheet'!C36)</f>
        <v>0</v>
      </c>
      <c r="T33" s="36"/>
      <c r="U33" s="30"/>
      <c r="V33" s="36"/>
      <c r="W33" s="30"/>
      <c r="X33" s="36"/>
      <c r="Y33" s="30"/>
      <c r="Z33" s="29"/>
      <c r="AA33" s="29"/>
      <c r="AB33" s="29"/>
      <c r="AC33" s="29"/>
    </row>
    <row r="34" spans="1:36">
      <c r="B34" s="28"/>
      <c r="C34" s="36" t="s">
        <v>96</v>
      </c>
      <c r="D34" s="30">
        <f>IF('HIDDEN Front Sheet'!D37="No",0,C14)</f>
        <v>6200</v>
      </c>
      <c r="E34" s="102"/>
      <c r="F34" s="102"/>
      <c r="G34" s="36"/>
      <c r="H34" s="30"/>
      <c r="I34" s="102"/>
      <c r="J34" s="102"/>
      <c r="K34" s="36"/>
      <c r="L34" s="30"/>
      <c r="M34" s="102"/>
      <c r="N34" s="102"/>
      <c r="O34" s="36"/>
      <c r="P34" s="30"/>
      <c r="Q34" s="94"/>
      <c r="R34" s="75" t="s">
        <v>96</v>
      </c>
      <c r="S34" s="30">
        <f>R14</f>
        <v>6200</v>
      </c>
      <c r="T34" s="36"/>
      <c r="U34" s="30"/>
      <c r="V34" s="36"/>
      <c r="W34" s="30"/>
      <c r="X34" s="36"/>
      <c r="Y34" s="30"/>
      <c r="Z34" s="29"/>
      <c r="AA34" s="29"/>
      <c r="AB34" s="29"/>
      <c r="AC34" s="29"/>
    </row>
    <row r="35" spans="1:36">
      <c r="B35" s="28"/>
      <c r="C35" s="33" t="s">
        <v>248</v>
      </c>
      <c r="D35" s="37">
        <f>SUM(D29:D34)-D31</f>
        <v>106375</v>
      </c>
      <c r="E35" s="102"/>
      <c r="F35" s="102"/>
      <c r="G35" s="33" t="s">
        <v>248</v>
      </c>
      <c r="H35" s="37">
        <f>H29</f>
        <v>100000</v>
      </c>
      <c r="I35" s="102"/>
      <c r="J35" s="102"/>
      <c r="K35" s="33" t="s">
        <v>248</v>
      </c>
      <c r="L35" s="37">
        <f>L29</f>
        <v>100000</v>
      </c>
      <c r="M35" s="102"/>
      <c r="N35" s="102"/>
      <c r="O35" s="33" t="s">
        <v>248</v>
      </c>
      <c r="P35" s="37">
        <f>P29</f>
        <v>10000</v>
      </c>
      <c r="Q35" s="94"/>
      <c r="R35" s="86" t="s">
        <v>248</v>
      </c>
      <c r="S35" s="37">
        <f>SUM(S29:S34)-S31</f>
        <v>106375</v>
      </c>
      <c r="T35" s="86" t="s">
        <v>248</v>
      </c>
      <c r="U35" s="37">
        <f>U29</f>
        <v>100000</v>
      </c>
      <c r="V35" s="86" t="s">
        <v>248</v>
      </c>
      <c r="W35" s="37">
        <f>W29</f>
        <v>100000</v>
      </c>
      <c r="X35" s="86" t="s">
        <v>248</v>
      </c>
      <c r="Y35" s="37">
        <f>Y29</f>
        <v>10000</v>
      </c>
      <c r="Z35" s="29"/>
      <c r="AA35" s="29"/>
      <c r="AB35" s="29"/>
      <c r="AC35" s="29"/>
    </row>
    <row r="36" spans="1:36">
      <c r="B36" s="78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41"/>
      <c r="O36" s="141"/>
      <c r="P36" s="141"/>
      <c r="Q36" s="92"/>
      <c r="R36" s="120"/>
      <c r="S36" s="121"/>
      <c r="T36" s="120"/>
      <c r="U36" s="121"/>
      <c r="V36" s="120"/>
      <c r="W36" s="121"/>
      <c r="X36" s="29"/>
      <c r="Y36" s="29"/>
      <c r="Z36" s="29"/>
      <c r="AA36" s="29"/>
      <c r="AB36" s="29"/>
      <c r="AC36" s="29"/>
    </row>
    <row r="37" spans="1:36">
      <c r="B37" s="79"/>
      <c r="C37" s="38"/>
      <c r="D37" s="38"/>
      <c r="E37" s="38"/>
      <c r="F37" s="38"/>
      <c r="G37" s="38"/>
      <c r="H37" s="38"/>
      <c r="I37" s="38"/>
      <c r="J37" s="38"/>
      <c r="K37" s="38"/>
      <c r="L37" s="108"/>
      <c r="M37" s="38"/>
      <c r="N37" s="142"/>
      <c r="O37" s="142"/>
      <c r="P37" s="142"/>
      <c r="Q37" s="119" t="s">
        <v>249</v>
      </c>
      <c r="R37" s="87"/>
      <c r="S37" s="38"/>
      <c r="T37" s="87"/>
      <c r="U37" s="38"/>
      <c r="V37" s="87"/>
      <c r="W37" s="38"/>
      <c r="X37" s="76"/>
      <c r="Y37" s="76"/>
      <c r="Z37" s="76"/>
      <c r="AA37" s="76"/>
      <c r="AB37" s="76"/>
      <c r="AC37" s="76"/>
      <c r="AD37" s="119" t="s">
        <v>249</v>
      </c>
      <c r="AH37" s="12"/>
    </row>
    <row r="38" spans="1:36">
      <c r="B38" s="97"/>
      <c r="C38" s="39" t="s">
        <v>250</v>
      </c>
      <c r="D38" s="39" t="s">
        <v>251</v>
      </c>
      <c r="E38" s="39"/>
      <c r="F38" s="39"/>
      <c r="G38" s="39" t="s">
        <v>250</v>
      </c>
      <c r="H38" s="39" t="s">
        <v>251</v>
      </c>
      <c r="I38" s="39"/>
      <c r="J38" s="39"/>
      <c r="K38" s="39" t="s">
        <v>250</v>
      </c>
      <c r="L38" s="39" t="s">
        <v>251</v>
      </c>
      <c r="M38" s="39"/>
      <c r="N38" s="39"/>
      <c r="O38" s="39" t="s">
        <v>250</v>
      </c>
      <c r="P38" s="39" t="s">
        <v>251</v>
      </c>
      <c r="Q38" s="95">
        <f>-D35</f>
        <v>-106375</v>
      </c>
      <c r="R38" s="39" t="s">
        <v>250</v>
      </c>
      <c r="S38" s="88" t="s">
        <v>252</v>
      </c>
      <c r="T38" s="39" t="s">
        <v>251</v>
      </c>
      <c r="U38" s="39" t="s">
        <v>250</v>
      </c>
      <c r="V38" s="88" t="s">
        <v>252</v>
      </c>
      <c r="W38" s="39" t="s">
        <v>251</v>
      </c>
      <c r="X38" s="39" t="s">
        <v>250</v>
      </c>
      <c r="Y38" s="39" t="s">
        <v>252</v>
      </c>
      <c r="Z38" s="39" t="s">
        <v>251</v>
      </c>
      <c r="AA38" s="39" t="s">
        <v>250</v>
      </c>
      <c r="AB38" s="39" t="s">
        <v>252</v>
      </c>
      <c r="AC38" s="39" t="s">
        <v>251</v>
      </c>
      <c r="AD38" s="123">
        <f>-S35</f>
        <v>-106375</v>
      </c>
    </row>
    <row r="39" spans="1:36">
      <c r="A39">
        <v>1</v>
      </c>
      <c r="B39" s="98">
        <f>MIN(EDATE(C4,1),IF('HIDDEN Redemption'!B11="",'HIDDEN Front Sheet'!$C$22,'HIDDEN Redemption'!$B$11))</f>
        <v>46204</v>
      </c>
      <c r="C39" s="40">
        <f>IF($A39&gt;$C$5,"",$D$35*$C$9/365*($B$39-$C$4))</f>
        <v>734.42465753424653</v>
      </c>
      <c r="D39" s="40">
        <f>D35+C39</f>
        <v>107109.42465753424</v>
      </c>
      <c r="E39" s="143">
        <f>LOOKUP(H30,B39:B62,A39:A62)+1</f>
        <v>2</v>
      </c>
      <c r="F39" s="98">
        <f>MIN(EDATE(H30,1),IF('HIDDEN Redemption'!B11="",'HIDDEN Front Sheet'!$C$22,'HIDDEN Redemption'!$B$11))</f>
        <v>46235</v>
      </c>
      <c r="G39" s="40">
        <f>IFERROR(IF($E39&gt;$C$5,"",$H$35*$C$9/365*($F$39-$C$4)),"0")</f>
        <v>1403.8356164383561</v>
      </c>
      <c r="H39" s="40">
        <f>IFERROR(H35+G39,"0")</f>
        <v>101403.83561643836</v>
      </c>
      <c r="I39" s="143">
        <f>LOOKUP(L30,F39:F62,E39:E62)+1</f>
        <v>3</v>
      </c>
      <c r="J39" s="98">
        <f>MIN(EDATE(L30,1),IF('HIDDEN Redemption'!$B$11="",'HIDDEN Front Sheet'!$C$22,'HIDDEN Redemption'!$B$11))</f>
        <v>46266</v>
      </c>
      <c r="K39" s="40">
        <f>IFERROR(IF($I39&gt;$C$5,"",$L$35*$C$9/365*($J$39-$L$30)),"0")</f>
        <v>713.42465753424653</v>
      </c>
      <c r="L39" s="40">
        <f>IFERROR(L35+K39,"0")</f>
        <v>100713.42465753424</v>
      </c>
      <c r="M39" s="143">
        <f>LOOKUP(P30,J39:J62,I39:I62)+1</f>
        <v>4</v>
      </c>
      <c r="N39" s="98">
        <f>MIN(EDATE(P30,1),IF('HIDDEN Redemption'!$B$11="",'HIDDEN Front Sheet'!$C$22,'HIDDEN Redemption'!$B$11))</f>
        <v>46296</v>
      </c>
      <c r="O39" s="40">
        <f>IFERROR(IF($M39&gt;$C$5,"",$L$35*$C$9/365*($N$39-$P$30)),"0")</f>
        <v>690.41095890410952</v>
      </c>
      <c r="P39" s="40">
        <f>IFERROR(P35+O39,"0")</f>
        <v>10690.410958904109</v>
      </c>
      <c r="Q39" s="96">
        <f t="shared" ref="Q39:Q55" si="0">IF(A39=$C$5,SUM(D39,_xlfn.XLOOKUP($C$5,$I$39:$I$56,$L$39:$L$56,0,0,1),_xlfn.XLOOKUP($C$5,$E$39:$E$56,$H$39:$H$56,0,0,1),_xlfn.XLOOKUP($C$5,$M$39:$M$56,$P$39:$P$56,0,0,1)),SUM(IF(AND($H$30&gt;0,$E$39=A39),-$H$29,0),IF(AND($L$30&gt;0,$I$39=A39),-$L$29,0),IF(AND($P$30&gt;0,$M$39=A39),-$P$29,0)))</f>
        <v>0</v>
      </c>
      <c r="R39" s="40">
        <f>IF($A39&gt;$C$5,"",$S$35*$C$9/365*($B$39-$C$4))</f>
        <v>734.42465753424653</v>
      </c>
      <c r="S39" s="89">
        <f>IF(A39&gt;$R$5,"",PMT($R$9/12,$R$5,-S35,S35,0))</f>
        <v>744.625</v>
      </c>
      <c r="T39" s="40">
        <f>S35+R39-S39</f>
        <v>106364.79965753424</v>
      </c>
      <c r="U39" s="40">
        <f>IF($E39&gt;$C$5,"",$U$35*$C$9/365*($F$39-$U$30))</f>
        <v>713.42465753424653</v>
      </c>
      <c r="V39" s="89">
        <f>IF(E39&gt;$C$5,"",PMT($R$9/12,$C$5-1,-U35,U35,0))</f>
        <v>700</v>
      </c>
      <c r="W39" s="40">
        <f>U35</f>
        <v>100000</v>
      </c>
      <c r="X39" s="40">
        <f>IF($I39&gt;$C$5,"",$W$35*$C$9/365*($J$39-$W$30))</f>
        <v>713.42465753424653</v>
      </c>
      <c r="Y39" s="40">
        <f>IF(I39&gt;$C$5,"",PMT($R$9/12,$C$5-3,-W35,W35,0))</f>
        <v>700</v>
      </c>
      <c r="Z39" s="40">
        <f>W35</f>
        <v>100000</v>
      </c>
      <c r="AA39" s="40">
        <f>IF($M39&gt;$C$5,"",$Y$35*$C$9/365*($N$39-$Y$30))</f>
        <v>69.041095890410958</v>
      </c>
      <c r="AB39" s="40">
        <f>IF(M39&gt;$C$5,"",PMT($R$9/12,$C$5-3,-Y35,Y35,0))</f>
        <v>70</v>
      </c>
      <c r="AC39" s="40">
        <f>Y35</f>
        <v>10000</v>
      </c>
      <c r="AD39" s="123">
        <f t="shared" ref="AD39:AD55" si="1">IFERROR(IF(A39=$C$5,SUM(T39,S39,_xlfn.XLOOKUP($C$5,$I$39:$I$56,$Z$39:$Z$56,0,0,1),_xlfn.XLOOKUP($C$5,$I$39:$I$56,$Y$39:$Y$56,0,0,1),_xlfn.XLOOKUP($C$5,$E$39:$E$56,$W$39:$W$56,0,0,1),_xlfn.XLOOKUP($C$5,$E$39:$E$56,$V$39:$V$56,0,0,1),_xlfn.XLOOKUP($C$5,$M$39:$M$56,$AB$39:$AB$56,0,0,1),_xlfn.XLOOKUP($C$5,$M$39:$M$56,$AC$39:$AC$56,0,0,1)),SUM(IF(AND($H$30&gt;0,$E$39=A39),-$H$29,0),IF(AND($L$30&gt;0,$I$39=A39),-$L$29,0),IF(AND($P$30&gt;0,$M$39=A39),-$P$29,0))+S39+_xlfn.XLOOKUP(A39,$E$39:$E$56,$V$39:$V$56,0,0,1)+_xlfn.XLOOKUP(A39,$I$39:$I$56,$Y$39:$Y$56,0,0,1)+_xlfn.XLOOKUP(A39,$M$39:$M$56,$AB$39:$AB$56,0,0,1)),"")</f>
        <v>744.625</v>
      </c>
      <c r="AE39">
        <f>B39-C4</f>
        <v>30</v>
      </c>
      <c r="AF39">
        <f>SUM(AE39:AE50)</f>
        <v>365</v>
      </c>
      <c r="AH39" s="12"/>
      <c r="AI39" s="12"/>
      <c r="AJ39" s="12"/>
    </row>
    <row r="40" spans="1:36">
      <c r="A40">
        <f>A39+1</f>
        <v>2</v>
      </c>
      <c r="B40" s="99">
        <f>MIN(EDATE(B39,1),IF('HIDDEN Redemption'!$B$11="",'HIDDEN Front Sheet'!$C$22,'HIDDEN Redemption'!$B$11))</f>
        <v>46235</v>
      </c>
      <c r="C40" s="40">
        <f>IFERROR(IF(OR(A40&gt;'HIDDEN Redemption'!$B$12,$A40&gt;$C$5),"",D39*$C$9/365*($B40-$B39)),"")</f>
        <v>764.14504604991555</v>
      </c>
      <c r="D40" s="40">
        <f>IF(C40="","",D39+C40+IF(OR($A40=$C$5,$B40='HIDDEN Redemption'!$B$11),$D$31,0))</f>
        <v>107873.56970358416</v>
      </c>
      <c r="E40">
        <f>E39+1</f>
        <v>3</v>
      </c>
      <c r="F40" s="99">
        <f>MIN(EDATE(F39,1),IF('HIDDEN Redemption'!$B$11="",'HIDDEN Front Sheet'!$C$22,'HIDDEN Redemption'!$B$11))</f>
        <v>46266</v>
      </c>
      <c r="G40" s="40">
        <f>IFERROR(IF(OR(E40&gt;'HIDDEN Redemption'!$B$12,$E40&gt;$C$5),"",H39*$C$9/365*($F40-$F39)),"")</f>
        <v>723.43996697316572</v>
      </c>
      <c r="H40" s="40">
        <f>IF(G40="","",H39+G40)</f>
        <v>102127.27558341152</v>
      </c>
      <c r="I40">
        <f>I39+1</f>
        <v>4</v>
      </c>
      <c r="J40" s="99">
        <f>MIN(EDATE(J39,1),IF('HIDDEN Redemption'!$B$11="",'HIDDEN Front Sheet'!$C$22,'HIDDEN Redemption'!$B$11))</f>
        <v>46296</v>
      </c>
      <c r="K40" s="40">
        <f>IFERROR(IF(OR(I40&gt;'HIDDEN Redemption'!$B$12,$I40&gt;$C$5),"",L39*$C$9/365*($J40-$J39)),"")</f>
        <v>695.33652092325019</v>
      </c>
      <c r="L40" s="40">
        <f>IF(K40="","",L39+K40)</f>
        <v>101408.76117845748</v>
      </c>
      <c r="M40">
        <f>M39+1</f>
        <v>5</v>
      </c>
      <c r="N40" s="99">
        <f>MIN(EDATE(N39,1),IF('HIDDEN Redemption'!$B$11="",'HIDDEN Front Sheet'!$C$22,'HIDDEN Redemption'!$B$11))</f>
        <v>46327</v>
      </c>
      <c r="O40" s="40">
        <f>IFERROR(IF(OR(M40&gt;'HIDDEN Redemption'!$B$12,$M40&gt;$C$5),"",P39*$C$9/365*($N40-$N39)),"")</f>
        <v>76.268027772565205</v>
      </c>
      <c r="P40" s="40">
        <f>IF(O40="","",P39+O40)</f>
        <v>10766.678986676674</v>
      </c>
      <c r="Q40" s="96">
        <f t="shared" si="0"/>
        <v>-100000</v>
      </c>
      <c r="R40" s="40">
        <f>IF(OR(A40&gt;'HIDDEN Redemption'!$B$12,$A40&gt;$C$5),"",T39*$C$9/365*($B40-$B39))</f>
        <v>758.83270769375122</v>
      </c>
      <c r="S40" s="89">
        <f>IF(OR(A40&gt;'HIDDEN Redemption'!$B$12,DAY($B40)&lt;&gt;DAY($B39)),0,S39)</f>
        <v>744.625</v>
      </c>
      <c r="T40" s="40">
        <f>IFERROR(T39+R40-S40+IF(OR($A40=$C$5,$A40='HIDDEN Redemption'!$B$12),$S$31,0),"")</f>
        <v>106379.007365228</v>
      </c>
      <c r="U40" s="40">
        <f>IF(OR(E40&gt;'HIDDEN Redemption'!$B$12,$E40&gt;$C$5),"",W39*$C$9/365*($F40-$F39))</f>
        <v>713.42465753424653</v>
      </c>
      <c r="V40" s="89">
        <f>IF(OR(E40&gt;'HIDDEN Redemption'!$B$12,DAY($F40)&lt;&gt;DAY($F39)),0,V39)</f>
        <v>700</v>
      </c>
      <c r="W40" s="40">
        <f>IFERROR(W39+U40-V40,"")</f>
        <v>100013.42465753424</v>
      </c>
      <c r="X40" s="40">
        <f>IF(OR(I40&gt;'HIDDEN Redemption'!$B$12,$I40&gt;$C$5),"",Z39*$C$9/365*($J40-$J39))</f>
        <v>690.41095890410952</v>
      </c>
      <c r="Y40" s="40">
        <f>IF(OR(I40&gt;'HIDDEN Redemption'!$B$12,DAY($J40)&lt;&gt;DAY($J39)),0,Y39)</f>
        <v>700</v>
      </c>
      <c r="Z40" s="40">
        <f>IFERROR(Z39+X40-Y40,"")</f>
        <v>99990.410958904104</v>
      </c>
      <c r="AA40" s="40">
        <f>IF(OR(M40&gt;'HIDDEN Redemption'!$B$12,$M40&gt;$C$5),"",AC39*$C$9/365*($N40-$N39))</f>
        <v>71.342465753424648</v>
      </c>
      <c r="AB40" s="40">
        <f>IF(OR(M40&gt;'HIDDEN Redemption'!$B$12,DAY($N40)&lt;&gt;DAY($N39)),0,AB39)</f>
        <v>70</v>
      </c>
      <c r="AC40" s="40">
        <f>IFERROR(AC39+AA40-AB40,"")</f>
        <v>10001.342465753425</v>
      </c>
      <c r="AD40" s="123">
        <f t="shared" si="1"/>
        <v>-98555.375</v>
      </c>
      <c r="AE40">
        <f t="shared" ref="AE40:AE50" si="2">B40-B39</f>
        <v>31</v>
      </c>
      <c r="AF40" s="12"/>
      <c r="AG40" s="122"/>
      <c r="AH40" s="12"/>
      <c r="AJ40" s="12"/>
    </row>
    <row r="41" spans="1:36">
      <c r="A41">
        <f t="shared" ref="A41:A62" si="3">A40+1</f>
        <v>3</v>
      </c>
      <c r="B41" s="99">
        <f>MIN(EDATE(B40,1),IF('HIDDEN Redemption'!$B$11="",'HIDDEN Front Sheet'!$C$22,'HIDDEN Redemption'!$B$11))</f>
        <v>46266</v>
      </c>
      <c r="C41" s="40">
        <f>IFERROR(IF(OR(A41&gt;'HIDDEN Redemption'!$B$12,$A41&gt;$C$5),"",D40*$C$9/365*($B41-$B40)),"")</f>
        <v>769.59664522776211</v>
      </c>
      <c r="D41" s="40">
        <f>IF(C41="","",D40+C41+IF(OR($A41=$C$5,$B41='HIDDEN Redemption'!$B$11),$D$31,0))</f>
        <v>108643.16634881192</v>
      </c>
      <c r="E41">
        <f t="shared" ref="E41:E62" si="4">E40+1</f>
        <v>4</v>
      </c>
      <c r="F41" s="99">
        <f>MIN(EDATE(F40,1),IF('HIDDEN Redemption'!$B$11="",'HIDDEN Front Sheet'!$C$22,'HIDDEN Redemption'!$B$11))</f>
        <v>46296</v>
      </c>
      <c r="G41" s="40">
        <f>IFERROR(IF(OR(E41&gt;'HIDDEN Redemption'!$B$12,$E41&gt;$C$5),"",H40*$C$9/365*($F41-$F40)),"")</f>
        <v>705.09790265807419</v>
      </c>
      <c r="H41" s="40">
        <f t="shared" ref="H41:H44" si="5">IF(G41="","",H40+G41)</f>
        <v>102832.3734860696</v>
      </c>
      <c r="I41">
        <f t="shared" ref="I41:I62" si="6">I40+1</f>
        <v>5</v>
      </c>
      <c r="J41" s="99">
        <f>MIN(EDATE(J40,1),IF('HIDDEN Redemption'!$B$11="",'HIDDEN Front Sheet'!$C$22,'HIDDEN Redemption'!$B$11))</f>
        <v>46327</v>
      </c>
      <c r="K41" s="40">
        <f>IFERROR(IF(OR(I41&gt;'HIDDEN Redemption'!$B$12,$I41&gt;$C$5),"",L40*$C$9/365*($J41-$J40)),"")</f>
        <v>723.47510714713235</v>
      </c>
      <c r="L41" s="40">
        <f t="shared" ref="L41:L48" si="7">IF(K41="","",L40+K41)</f>
        <v>102132.23628560461</v>
      </c>
      <c r="M41">
        <f t="shared" ref="M41:M62" si="8">M40+1</f>
        <v>6</v>
      </c>
      <c r="N41" s="99">
        <f>MIN(EDATE(N40,1),IF('HIDDEN Redemption'!$B$11="",'HIDDEN Front Sheet'!$C$22,'HIDDEN Redemption'!$B$11))</f>
        <v>46357</v>
      </c>
      <c r="O41" s="40">
        <f>IFERROR(IF(OR(M41&gt;'HIDDEN Redemption'!$B$12,$M41&gt;$C$5),"",P40*$C$9/365*($N41-$N40)),"")</f>
        <v>74.334331634041703</v>
      </c>
      <c r="P41" s="40">
        <f t="shared" ref="P41:P48" si="9">IF(O41="","",P40+O41)</f>
        <v>10841.013318310715</v>
      </c>
      <c r="Q41" s="96">
        <f t="shared" si="0"/>
        <v>-100000</v>
      </c>
      <c r="R41" s="40">
        <f>IF(OR(A41&gt;'HIDDEN Redemption'!$B$12,$A41&gt;$C$5),"",T40*$C$9/365*($B41-$B40))</f>
        <v>758.9340689837087</v>
      </c>
      <c r="S41" s="89">
        <f>IF(OR(A41&gt;'HIDDEN Redemption'!$B$12,DAY($B41)&lt;&gt;DAY($B40)),0,S40)</f>
        <v>744.625</v>
      </c>
      <c r="T41" s="40">
        <f>IFERROR(T40+R41-S41+IF(OR($A41=$C$5,$A41='HIDDEN Redemption'!$B$12),$S$31,0),"")</f>
        <v>106393.31643421171</v>
      </c>
      <c r="U41" s="40">
        <f>IF(OR(E41&gt;'HIDDEN Redemption'!$B$12,$E41&gt;$C$5),"",W40*$C$9/365*($F41-$F40))</f>
        <v>690.50364421092138</v>
      </c>
      <c r="V41" s="89">
        <f>IF(OR(E41&gt;'HIDDEN Redemption'!$B$12,DAY($F41)&lt;&gt;DAY($F40)),0,V40)</f>
        <v>700</v>
      </c>
      <c r="W41" s="40">
        <f t="shared" ref="W41:W55" si="10">IFERROR(W40+U41-V41,"")</f>
        <v>100003.92830174517</v>
      </c>
      <c r="X41" s="40">
        <f>IF(OR(I41&gt;'HIDDEN Redemption'!$B$12,$I41&gt;$C$5),"",Z40*$C$9/365*($J41-$J40))</f>
        <v>713.35624695064746</v>
      </c>
      <c r="Y41" s="40">
        <f>IF(OR(I41&gt;'HIDDEN Redemption'!$B$12,DAY($J41)&lt;&gt;DAY($J40)),0,Y40)</f>
        <v>700</v>
      </c>
      <c r="Z41" s="40">
        <f t="shared" ref="Z41:Z55" si="11">IFERROR(Z40+X41-Y41,"")</f>
        <v>100003.76720585475</v>
      </c>
      <c r="AA41" s="40">
        <f>IF(OR(M41&gt;'HIDDEN Redemption'!$B$12,$M41&gt;$C$5),"",AC40*$C$9/365*($N41-$N40))</f>
        <v>69.050364421092141</v>
      </c>
      <c r="AB41" s="40">
        <f>IF(OR(M41&gt;'HIDDEN Redemption'!$B$12,DAY($N41)&lt;&gt;DAY($N40)),0,AB40)</f>
        <v>70</v>
      </c>
      <c r="AC41" s="40">
        <f t="shared" ref="AC41:AC55" si="12">IFERROR(AC40+AA41-AB41,"")</f>
        <v>10000.392830174518</v>
      </c>
      <c r="AD41" s="123">
        <f t="shared" si="1"/>
        <v>-97855.375</v>
      </c>
      <c r="AE41">
        <f t="shared" si="2"/>
        <v>31</v>
      </c>
      <c r="AH41" s="35"/>
    </row>
    <row r="42" spans="1:36">
      <c r="A42">
        <f t="shared" si="3"/>
        <v>4</v>
      </c>
      <c r="B42" s="99">
        <f>MIN(EDATE(B41,1),IF('HIDDEN Redemption'!$B$11="",'HIDDEN Front Sheet'!$C$22,'HIDDEN Redemption'!$B$11))</f>
        <v>46296</v>
      </c>
      <c r="C42" s="40">
        <f>IFERROR(IF(OR(A42&gt;'HIDDEN Redemption'!$B$12,$A42&gt;$C$5),"",D41*$C$9/365*($B42-$B41)),"")</f>
        <v>750.08432657261926</v>
      </c>
      <c r="D42" s="40">
        <f>IF(C42="","",D41+C42+IF(OR($A42=$C$5,$B42='HIDDEN Redemption'!$B$11),$D$31,0))</f>
        <v>109393.25067538454</v>
      </c>
      <c r="E42">
        <f t="shared" si="4"/>
        <v>5</v>
      </c>
      <c r="F42" s="99">
        <f>MIN(EDATE(F41,1),IF('HIDDEN Redemption'!$B$11="",'HIDDEN Front Sheet'!$C$22,'HIDDEN Redemption'!$B$11))</f>
        <v>46327</v>
      </c>
      <c r="G42" s="40">
        <f>IFERROR(IF(OR(E42&gt;'HIDDEN Redemption'!$B$12,$E42&gt;$C$5),"",H41*$C$9/365*($F42-$F41)),"")</f>
        <v>733.63150837732951</v>
      </c>
      <c r="H42" s="40">
        <f t="shared" si="5"/>
        <v>103566.00499444692</v>
      </c>
      <c r="I42">
        <f t="shared" si="6"/>
        <v>6</v>
      </c>
      <c r="J42" s="99">
        <f>MIN(EDATE(J41,1),IF('HIDDEN Redemption'!$B$11="",'HIDDEN Front Sheet'!$C$22,'HIDDEN Redemption'!$B$11))</f>
        <v>46357</v>
      </c>
      <c r="K42" s="40">
        <f>IFERROR(IF(OR(I42&gt;'HIDDEN Redemption'!$B$12,$I42&gt;$C$5),"",L41*$C$9/365*($J42-$J41)),"")</f>
        <v>705.13215188965387</v>
      </c>
      <c r="L42" s="40">
        <f t="shared" si="7"/>
        <v>102837.36843749427</v>
      </c>
      <c r="M42">
        <f t="shared" si="8"/>
        <v>7</v>
      </c>
      <c r="N42" s="99">
        <f>MIN(EDATE(N41,1),IF('HIDDEN Redemption'!$B$11="",'HIDDEN Front Sheet'!$C$22,'HIDDEN Redemption'!$B$11))</f>
        <v>46388</v>
      </c>
      <c r="O42" s="40">
        <f>IFERROR(IF(OR(M42&gt;'HIDDEN Redemption'!$B$12,$M42&gt;$C$5),"",P41*$C$9/365*($N42-$N41)),"")</f>
        <v>77.342462139400283</v>
      </c>
      <c r="P42" s="40">
        <f t="shared" si="9"/>
        <v>10918.355780450116</v>
      </c>
      <c r="Q42" s="96">
        <f t="shared" si="0"/>
        <v>-10000</v>
      </c>
      <c r="R42" s="40">
        <f>IF(OR(A42&gt;'HIDDEN Redemption'!$B$12,$A42&gt;$C$5),"",T41*$C$9/365*($B42-$B41))</f>
        <v>734.55111620332468</v>
      </c>
      <c r="S42" s="89">
        <f>IF(OR(A42&gt;'HIDDEN Redemption'!$B$12,DAY($B42)&lt;&gt;DAY($B41)),0,S41)</f>
        <v>744.625</v>
      </c>
      <c r="T42" s="40">
        <f>IFERROR(T41+R42-S42+IF(OR($A42=$C$5,$A42='HIDDEN Redemption'!$B$12),$S$31,0),"")</f>
        <v>106383.24255041503</v>
      </c>
      <c r="U42" s="40">
        <f>IF(OR(E42&gt;'HIDDEN Redemption'!$B$12,$E42&gt;$C$5),"",W41*$C$9/365*($F42-$F41))</f>
        <v>713.45268300751911</v>
      </c>
      <c r="V42" s="89">
        <f>IF(OR(E42&gt;'HIDDEN Redemption'!$B$12,DAY($F42)&lt;&gt;DAY($F41)),0,V41)</f>
        <v>700</v>
      </c>
      <c r="W42" s="40">
        <f t="shared" si="10"/>
        <v>100017.38098475269</v>
      </c>
      <c r="X42" s="40">
        <f>IF(OR(I42&gt;'HIDDEN Redemption'!$B$12,$I42&gt;$C$5),"",Z41*$C$9/365*($J42-$J41))</f>
        <v>690.4369681061753</v>
      </c>
      <c r="Y42" s="40">
        <f>IF(OR(I42&gt;'HIDDEN Redemption'!$B$12,DAY($J42)&lt;&gt;DAY($J41)),0,Y41)</f>
        <v>700</v>
      </c>
      <c r="Z42" s="40">
        <f t="shared" si="11"/>
        <v>99994.204173960927</v>
      </c>
      <c r="AA42" s="40">
        <f>IF(OR(M42&gt;'HIDDEN Redemption'!$B$12,$M42&gt;$C$5),"",AC41*$C$9/365*($N42-$N41))</f>
        <v>71.345268300751911</v>
      </c>
      <c r="AB42" s="40">
        <f>IF(OR(M42&gt;'HIDDEN Redemption'!$B$12,DAY($N42)&lt;&gt;DAY($N41)),0,AB41)</f>
        <v>70</v>
      </c>
      <c r="AC42" s="40">
        <f t="shared" si="12"/>
        <v>10001.738098475271</v>
      </c>
      <c r="AD42" s="123">
        <f t="shared" si="1"/>
        <v>-7785.375</v>
      </c>
      <c r="AE42">
        <f t="shared" si="2"/>
        <v>30</v>
      </c>
      <c r="AF42" s="12"/>
      <c r="AH42" s="12"/>
      <c r="AJ42" s="12"/>
    </row>
    <row r="43" spans="1:36">
      <c r="A43">
        <f t="shared" si="3"/>
        <v>5</v>
      </c>
      <c r="B43" s="99">
        <f>MIN(EDATE(B42,1),IF('HIDDEN Redemption'!$B$11="",'HIDDEN Front Sheet'!$C$22,'HIDDEN Redemption'!$B$11))</f>
        <v>46327</v>
      </c>
      <c r="C43" s="40">
        <f>IFERROR(IF(OR(A43&gt;'HIDDEN Redemption'!$B$12,$A43&gt;$C$5),"",D42*$C$9/365*($B43-$B42)),"")</f>
        <v>780.43842399644211</v>
      </c>
      <c r="D43" s="40">
        <f>IF(C43="","",D42+C43+IF(OR($A43=$C$5,$B43='HIDDEN Redemption'!$B$11),$D$31,0))</f>
        <v>110173.68909938098</v>
      </c>
      <c r="E43">
        <f t="shared" si="4"/>
        <v>6</v>
      </c>
      <c r="F43" s="99">
        <f>MIN(EDATE(F42,1),IF('HIDDEN Redemption'!$B$11="",'HIDDEN Front Sheet'!$C$22,'HIDDEN Redemption'!$B$11))</f>
        <v>46357</v>
      </c>
      <c r="G43" s="40">
        <f>IFERROR(IF(OR(E43&gt;'HIDDEN Redemption'!$B$12,$E43&gt;$C$5),"",H42*$C$9/365*($F43-$F42)),"")</f>
        <v>715.03104818083909</v>
      </c>
      <c r="H43" s="40">
        <f t="shared" si="5"/>
        <v>104281.03604262776</v>
      </c>
      <c r="I43">
        <f t="shared" si="6"/>
        <v>7</v>
      </c>
      <c r="J43" s="99">
        <f>MIN(EDATE(J42,1),IF('HIDDEN Redemption'!$B$11="",'HIDDEN Front Sheet'!$C$22,'HIDDEN Redemption'!$B$11))</f>
        <v>46388</v>
      </c>
      <c r="K43" s="40">
        <f>IFERROR(IF(OR(I43&gt;'HIDDEN Redemption'!$B$12,$I43&gt;$C$5),"",L42*$C$9/365*($J43-$J42)),"")</f>
        <v>733.66714359242485</v>
      </c>
      <c r="L43" s="40">
        <f t="shared" si="7"/>
        <v>103571.03558108669</v>
      </c>
      <c r="M43">
        <f t="shared" si="8"/>
        <v>8</v>
      </c>
      <c r="N43" s="99">
        <f>MIN(EDATE(N42,1),IF('HIDDEN Redemption'!$B$11="",'HIDDEN Front Sheet'!$C$22,'HIDDEN Redemption'!$B$11))</f>
        <v>46419</v>
      </c>
      <c r="O43" s="40">
        <f>IFERROR(IF(OR(M43&gt;'HIDDEN Redemption'!$B$12,$M43&gt;$C$5),"",P42*$C$9/365*($N43-$N42)),"")</f>
        <v>77.894242335046869</v>
      </c>
      <c r="P43" s="40">
        <f t="shared" si="9"/>
        <v>10996.250022785163</v>
      </c>
      <c r="Q43" s="96">
        <f t="shared" si="0"/>
        <v>0</v>
      </c>
      <c r="R43" s="40">
        <f>IF(OR(A43&gt;'HIDDEN Redemption'!$B$12,$A43&gt;$C$5),"",T42*$C$9/365*($B43-$B42))</f>
        <v>758.9642838391253</v>
      </c>
      <c r="S43" s="89">
        <f>IF(OR(A43&gt;'HIDDEN Redemption'!$B$12,DAY($B43)&lt;&gt;DAY($B42)),0,S42)</f>
        <v>744.625</v>
      </c>
      <c r="T43" s="40">
        <f>IFERROR(T42+R43-S43+IF(OR($A43=$C$5,$A43='HIDDEN Redemption'!$B$12),$S$31,0),"")</f>
        <v>106397.58183425416</v>
      </c>
      <c r="U43" s="40">
        <f>IF(OR(E43&gt;'HIDDEN Redemption'!$B$12,$E43&gt;$C$5),"",W42*$C$9/365*($F43-$F42))</f>
        <v>690.53095912760762</v>
      </c>
      <c r="V43" s="89">
        <f>IF(OR(E43&gt;'HIDDEN Redemption'!$B$12,DAY($F43)&lt;&gt;DAY($F42)),0,V42)</f>
        <v>700</v>
      </c>
      <c r="W43" s="40">
        <f t="shared" si="10"/>
        <v>100007.91194388029</v>
      </c>
      <c r="X43" s="40">
        <f>IF(OR(I43&gt;'HIDDEN Redemption'!$B$12,$I43&gt;$C$5),"",Z42*$C$9/365*($J43-$J42))</f>
        <v>713.38330868217611</v>
      </c>
      <c r="Y43" s="40">
        <f>IF(OR(I43&gt;'HIDDEN Redemption'!$B$12,DAY($J43)&lt;&gt;DAY($J42)),0,Y42)</f>
        <v>700</v>
      </c>
      <c r="Z43" s="40">
        <f t="shared" si="11"/>
        <v>100007.58748264311</v>
      </c>
      <c r="AA43" s="40">
        <f>IF(OR(M43&gt;'HIDDEN Redemption'!$B$12,$M43&gt;$C$5),"",AC42*$C$9/365*($N43-$N42))</f>
        <v>71.354865776519475</v>
      </c>
      <c r="AB43" s="40">
        <f>IF(OR(M43&gt;'HIDDEN Redemption'!$B$12,DAY($N43)&lt;&gt;DAY($N42)),0,AB42)</f>
        <v>70</v>
      </c>
      <c r="AC43" s="40">
        <f t="shared" si="12"/>
        <v>10003.092964251789</v>
      </c>
      <c r="AD43" s="123">
        <f t="shared" si="1"/>
        <v>2214.625</v>
      </c>
      <c r="AE43">
        <f t="shared" si="2"/>
        <v>31</v>
      </c>
      <c r="AF43" s="35"/>
      <c r="AG43" s="122"/>
    </row>
    <row r="44" spans="1:36">
      <c r="A44">
        <f t="shared" si="3"/>
        <v>6</v>
      </c>
      <c r="B44" s="99">
        <f>MIN(EDATE(B43,1),IF('HIDDEN Redemption'!$B$11="",'HIDDEN Front Sheet'!$C$22,'HIDDEN Redemption'!$B$11))</f>
        <v>46357</v>
      </c>
      <c r="C44" s="40">
        <f>IFERROR(IF(OR(A44&gt;'HIDDEN Redemption'!$B$12,$A44&gt;$C$5),"",D43*$C$9/365*($B44-$B43)),"")</f>
        <v>760.65122337106868</v>
      </c>
      <c r="D44" s="40">
        <f>IF(C44="","",D43+C44+IF(OR($A44=$C$5,$B44='HIDDEN Redemption'!$B$11),$D$31,0))</f>
        <v>110934.34032275205</v>
      </c>
      <c r="E44">
        <f t="shared" si="4"/>
        <v>7</v>
      </c>
      <c r="F44" s="99">
        <f>MIN(EDATE(F43,1),IF('HIDDEN Redemption'!$B$11="",'HIDDEN Front Sheet'!$C$22,'HIDDEN Redemption'!$B$11))</f>
        <v>46388</v>
      </c>
      <c r="G44" s="40">
        <f>IFERROR(IF(OR(E44&gt;'HIDDEN Redemption'!$B$12,$E44&gt;$C$5),"",H43*$C$9/365*($F44-$F43)),"")</f>
        <v>743.96662426028138</v>
      </c>
      <c r="H44" s="40">
        <f t="shared" si="5"/>
        <v>105025.00266688805</v>
      </c>
      <c r="I44">
        <f t="shared" si="6"/>
        <v>8</v>
      </c>
      <c r="J44" s="99">
        <f>MIN(EDATE(J43,1),IF('HIDDEN Redemption'!$B$11="",'HIDDEN Front Sheet'!$C$22,'HIDDEN Redemption'!$B$11))</f>
        <v>46419</v>
      </c>
      <c r="K44" s="40">
        <f>IFERROR(IF(OR(I44&gt;'HIDDEN Redemption'!$B$12,$I44&gt;$C$5),"",L43*$C$9/365*($J44-$J43)),"")</f>
        <v>738.90130589904038</v>
      </c>
      <c r="L44" s="40">
        <f t="shared" si="7"/>
        <v>104309.93688698573</v>
      </c>
      <c r="M44">
        <f t="shared" si="8"/>
        <v>9</v>
      </c>
      <c r="N44" s="99">
        <f>MIN(EDATE(N43,1),IF('HIDDEN Redemption'!$B$11="",'HIDDEN Front Sheet'!$C$22,'HIDDEN Redemption'!$B$11))</f>
        <v>46447</v>
      </c>
      <c r="O44" s="40">
        <f>IFERROR(IF(OR(M44&gt;'HIDDEN Redemption'!$B$12,$M44&gt;$C$5),"",P43*$C$9/365*($N44-$N43)),"")</f>
        <v>70.858027544084123</v>
      </c>
      <c r="P44" s="40">
        <f t="shared" si="9"/>
        <v>11067.108050329247</v>
      </c>
      <c r="Q44" s="96">
        <f t="shared" si="0"/>
        <v>0</v>
      </c>
      <c r="R44" s="40">
        <f>IF(OR(A44&gt;'HIDDEN Redemption'!$B$12,$A44&gt;$C$5),"",T43*$C$9/365*($B44-$B43))</f>
        <v>734.58056499265899</v>
      </c>
      <c r="S44" s="89">
        <f>IF(OR(A44&gt;'HIDDEN Redemption'!$B$12,DAY($B44)&lt;&gt;DAY($B43)),0,S43)</f>
        <v>744.625</v>
      </c>
      <c r="T44" s="40">
        <f>IFERROR(T43+R44-S44+IF(OR($A44=$C$5,$A44='HIDDEN Redemption'!$B$12),$S$31,0),"")</f>
        <v>106387.53739924682</v>
      </c>
      <c r="U44" s="40">
        <f>IF(OR(E44&gt;'HIDDEN Redemption'!$B$12,$E44&gt;$C$5),"",W43*$C$9/365*($F44-$F43))</f>
        <v>713.48110329277893</v>
      </c>
      <c r="V44" s="89">
        <f>IF(OR(E44&gt;'HIDDEN Redemption'!$B$12,DAY($F44)&lt;&gt;DAY($F43)),0,V43)</f>
        <v>700</v>
      </c>
      <c r="W44" s="40">
        <f t="shared" si="10"/>
        <v>100021.39304717307</v>
      </c>
      <c r="X44" s="40">
        <f>IF(OR(I44&gt;'HIDDEN Redemption'!$B$12,$I44&gt;$C$5),"",Z43*$C$9/365*($J44-$J43))</f>
        <v>713.47878850630877</v>
      </c>
      <c r="Y44" s="40">
        <f>IF(OR(I44&gt;'HIDDEN Redemption'!$B$12,DAY($J44)&lt;&gt;DAY($J43)),0,Y43)</f>
        <v>700</v>
      </c>
      <c r="Z44" s="40">
        <f t="shared" si="11"/>
        <v>100021.06627114942</v>
      </c>
      <c r="AA44" s="40">
        <f>IF(OR(M44&gt;'HIDDEN Redemption'!$B$12,$M44&gt;$C$5),"",AC43*$C$9/365*($N44-$N43))</f>
        <v>64.458286717589615</v>
      </c>
      <c r="AB44" s="40">
        <f>IF(OR(M44&gt;'HIDDEN Redemption'!$B$12,DAY($N44)&lt;&gt;DAY($N43)),0,AB43)</f>
        <v>70</v>
      </c>
      <c r="AC44" s="40">
        <f t="shared" si="12"/>
        <v>9997.5512509693799</v>
      </c>
      <c r="AD44" s="123">
        <f t="shared" si="1"/>
        <v>2214.625</v>
      </c>
      <c r="AE44">
        <f t="shared" si="2"/>
        <v>30</v>
      </c>
    </row>
    <row r="45" spans="1:36">
      <c r="A45">
        <f t="shared" si="3"/>
        <v>7</v>
      </c>
      <c r="B45" s="99">
        <f>MIN(EDATE(B44,1),IF('HIDDEN Redemption'!$B$11="",'HIDDEN Front Sheet'!$C$22,'HIDDEN Redemption'!$B$11))</f>
        <v>46388</v>
      </c>
      <c r="C45" s="40">
        <f>IFERROR(IF(OR(A45&gt;'HIDDEN Redemption'!$B$12,$A45&gt;$C$5),"",D44*$C$9/365*($B45-$B44)),"")</f>
        <v>791.43293753546936</v>
      </c>
      <c r="D45" s="40">
        <f>IF(C45="","",D44+C45+IF(OR($A45=$C$5,$B45='HIDDEN Redemption'!$B$11),$D$31,0))</f>
        <v>111725.77326028752</v>
      </c>
      <c r="E45">
        <f t="shared" si="4"/>
        <v>8</v>
      </c>
      <c r="F45" s="99">
        <f>MIN(EDATE(F44,1),IF('HIDDEN Redemption'!$B$11="",'HIDDEN Front Sheet'!$C$22,'HIDDEN Redemption'!$B$11))</f>
        <v>46419</v>
      </c>
      <c r="G45" s="40">
        <f>IFERROR(IF(OR(E45&gt;'HIDDEN Redemption'!$B$12,$E45&gt;$C$5),"",H44*$C$9/365*($F45-$F44)),"")</f>
        <v>749.27426560157949</v>
      </c>
      <c r="H45" s="40">
        <f t="shared" ref="H45:H56" si="13">IF(G45="","",H44+G45)</f>
        <v>105774.27693248962</v>
      </c>
      <c r="I45">
        <f t="shared" si="6"/>
        <v>9</v>
      </c>
      <c r="J45" s="99">
        <f>MIN(EDATE(J44,1),IF('HIDDEN Redemption'!$B$11="",'HIDDEN Front Sheet'!$C$22,'HIDDEN Redemption'!$B$11))</f>
        <v>46447</v>
      </c>
      <c r="K45" s="40">
        <f>IFERROR(IF(OR(I45&gt;'HIDDEN Redemption'!$B$12,$I45&gt;$C$5),"",L44*$C$9/365*($J45-$J44)),"")</f>
        <v>672.15608646079568</v>
      </c>
      <c r="L45" s="40">
        <f t="shared" si="7"/>
        <v>104982.09297344652</v>
      </c>
      <c r="M45">
        <f t="shared" si="8"/>
        <v>10</v>
      </c>
      <c r="N45" s="99">
        <f>MIN(EDATE(N44,1),IF('HIDDEN Redemption'!$B$11="",'HIDDEN Front Sheet'!$C$22,'HIDDEN Redemption'!$B$11))</f>
        <v>46478</v>
      </c>
      <c r="O45" s="40">
        <f>IFERROR(IF(OR(M45&gt;'HIDDEN Redemption'!$B$12,$M45&gt;$C$5),"",P44*$C$9/365*($N45-$N44)),"")</f>
        <v>78.955477707006466</v>
      </c>
      <c r="P45" s="40">
        <f t="shared" si="9"/>
        <v>11146.063528036253</v>
      </c>
      <c r="Q45" s="96">
        <f t="shared" si="0"/>
        <v>0</v>
      </c>
      <c r="R45" s="40">
        <f>IF(OR(A45&gt;'HIDDEN Redemption'!$B$12,$A45&gt;$C$5),"",T44*$C$9/365*($B45-$B44))</f>
        <v>758.99492434969511</v>
      </c>
      <c r="S45" s="89">
        <f>IF(OR(A45&gt;'HIDDEN Redemption'!$B$12,DAY($B45)&lt;&gt;DAY($B44)),0,S44)</f>
        <v>744.625</v>
      </c>
      <c r="T45" s="40">
        <f>IFERROR(T44+R45-S45+IF(OR($A45=$C$5,$A45='HIDDEN Redemption'!$B$12),$S$31,0),"")</f>
        <v>106401.90732359652</v>
      </c>
      <c r="U45" s="40">
        <f>IF(OR(E45&gt;'HIDDEN Redemption'!$B$12,$E45&gt;$C$5),"",W44*$C$9/365*($F45-$F44))</f>
        <v>713.57728080777724</v>
      </c>
      <c r="V45" s="89">
        <f>IF(OR(E45&gt;'HIDDEN Redemption'!$B$12,DAY($F45)&lt;&gt;DAY($F44)),0,V44)</f>
        <v>700</v>
      </c>
      <c r="W45" s="40">
        <f t="shared" si="10"/>
        <v>100034.97032798085</v>
      </c>
      <c r="X45" s="40">
        <f>IF(OR(I45&gt;'HIDDEN Redemption'!$B$12,$I45&gt;$C$5),"",Z44*$C$9/365*($J45-$J44))</f>
        <v>644.5193092321739</v>
      </c>
      <c r="Y45" s="40">
        <f>IF(OR(I45&gt;'HIDDEN Redemption'!$B$12,DAY($J45)&lt;&gt;DAY($J44)),0,Y44)</f>
        <v>700</v>
      </c>
      <c r="Z45" s="40">
        <f t="shared" si="11"/>
        <v>99965.585580381594</v>
      </c>
      <c r="AA45" s="40">
        <f>IF(OR(M45&gt;'HIDDEN Redemption'!$B$12,$M45&gt;$C$5),"",AC44*$C$9/365*($N45-$N44))</f>
        <v>71.324995774039095</v>
      </c>
      <c r="AB45" s="40">
        <f>IF(OR(M45&gt;'HIDDEN Redemption'!$B$12,DAY($N45)&lt;&gt;DAY($N44)),0,AB44)</f>
        <v>70</v>
      </c>
      <c r="AC45" s="40">
        <f t="shared" si="12"/>
        <v>9998.876246743419</v>
      </c>
      <c r="AD45" s="123">
        <f t="shared" si="1"/>
        <v>2214.625</v>
      </c>
      <c r="AE45">
        <f t="shared" si="2"/>
        <v>31</v>
      </c>
    </row>
    <row r="46" spans="1:36">
      <c r="A46">
        <f t="shared" si="3"/>
        <v>8</v>
      </c>
      <c r="B46" s="99">
        <f>MIN(EDATE(B45,1),IF('HIDDEN Redemption'!$B$11="",'HIDDEN Front Sheet'!$C$22,'HIDDEN Redemption'!$B$11))</f>
        <v>46419</v>
      </c>
      <c r="C46" s="40">
        <f>IFERROR(IF(OR(A46&gt;'HIDDEN Redemption'!$B$12,$A46&gt;$C$5),"",D45*$C$9/365*($B46-$B45)),"")</f>
        <v>797.07921525969505</v>
      </c>
      <c r="D46" s="40">
        <f>IF(OR(C46="",C46=0),"",D45+C46+IF(OR($A46=$C$5,$B46='HIDDEN Redemption'!$B$11),$D$31,0))</f>
        <v>112522.85247554722</v>
      </c>
      <c r="E46">
        <f t="shared" si="4"/>
        <v>9</v>
      </c>
      <c r="F46" s="99">
        <f>MIN(EDATE(F45,1),IF('HIDDEN Redemption'!$B$11="",'HIDDEN Front Sheet'!$C$22,'HIDDEN Redemption'!$B$11))</f>
        <v>46447</v>
      </c>
      <c r="G46" s="40">
        <f>IFERROR(IF(OR(E46&gt;'HIDDEN Redemption'!$B$12,$E46&gt;$C$5),"",H45*$C$9/365*($F46-$F45)),"")</f>
        <v>681.59205300059068</v>
      </c>
      <c r="H46" s="40">
        <f t="shared" si="13"/>
        <v>106455.86898549022</v>
      </c>
      <c r="I46">
        <f t="shared" si="6"/>
        <v>10</v>
      </c>
      <c r="J46" s="99">
        <f>MIN(EDATE(J45,1),IF('HIDDEN Redemption'!$B$11="",'HIDDEN Front Sheet'!$C$22,'HIDDEN Redemption'!$B$11))</f>
        <v>46478</v>
      </c>
      <c r="K46" s="40">
        <f>IFERROR(IF(OR(I46&gt;'HIDDEN Redemption'!$B$12,$I46&gt;$C$5),"",L45*$C$9/365*($J46-$J45)),"")</f>
        <v>748.96813726809512</v>
      </c>
      <c r="L46" s="40">
        <f t="shared" si="7"/>
        <v>105731.06111071461</v>
      </c>
      <c r="M46">
        <f t="shared" si="8"/>
        <v>11</v>
      </c>
      <c r="N46" s="99">
        <f>MIN(EDATE(N45,1),IF('HIDDEN Redemption'!$B$11="",'HIDDEN Front Sheet'!$C$22,'HIDDEN Redemption'!$B$11))</f>
        <v>46508</v>
      </c>
      <c r="O46" s="40">
        <f>IFERROR(IF(OR(M46&gt;'HIDDEN Redemption'!$B$12,$M46&gt;$C$5),"",P45*$C$9/365*($N46-$N45)),"")</f>
        <v>76.953644083976329</v>
      </c>
      <c r="P46" s="40">
        <f t="shared" si="9"/>
        <v>11223.01717212023</v>
      </c>
      <c r="Q46" s="96">
        <f t="shared" si="0"/>
        <v>0</v>
      </c>
      <c r="R46" s="40">
        <f>IF(OR(A46&gt;'HIDDEN Redemption'!$B$12,$A46&gt;$C$5),"",T45*$C$9/365*($B46-$B45))</f>
        <v>759.09744293327492</v>
      </c>
      <c r="S46" s="89">
        <f>IF(OR(A46&gt;'HIDDEN Redemption'!$B$12,DAY($B46)&lt;&gt;DAY($B45)),0,S45)</f>
        <v>744.625</v>
      </c>
      <c r="T46" s="40">
        <f>IFERROR(T45+R46-S46+IF(OR($A46=$C$5,$A46='HIDDEN Redemption'!$B$12),$S$31,0),"")</f>
        <v>106416.37976652979</v>
      </c>
      <c r="U46" s="40">
        <f>IF(OR(E46&gt;'HIDDEN Redemption'!$B$12,$E46&gt;$C$5),"",W45*$C$9/365*($F46-$F45))</f>
        <v>644.60890468879722</v>
      </c>
      <c r="V46" s="89">
        <f>IF(OR(E46&gt;'HIDDEN Redemption'!$B$12,DAY($F46)&lt;&gt;DAY($F45)),0,V45)</f>
        <v>700</v>
      </c>
      <c r="W46" s="40">
        <f t="shared" si="10"/>
        <v>99979.579232669639</v>
      </c>
      <c r="X46" s="40">
        <f>IF(OR(I46&gt;'HIDDEN Redemption'!$B$12,$I46&gt;$C$5),"",Z45*$C$9/365*($J46-$J45))</f>
        <v>713.17913657894155</v>
      </c>
      <c r="Y46" s="40">
        <f>IF(OR(I46&gt;'HIDDEN Redemption'!$B$12,DAY($J46)&lt;&gt;DAY($J45)),0,Y45)</f>
        <v>700</v>
      </c>
      <c r="Z46" s="40">
        <f t="shared" si="11"/>
        <v>99978.764716960533</v>
      </c>
      <c r="AA46" s="40">
        <f>IF(OR(M46&gt;'HIDDEN Redemption'!$B$12,$M46&gt;$C$5),"",AC45*$C$9/365*($N46-$N45))</f>
        <v>69.033337374776494</v>
      </c>
      <c r="AB46" s="40">
        <f>IF(OR(M46&gt;'HIDDEN Redemption'!$B$12,DAY($N46)&lt;&gt;DAY($N45)),0,AB45)</f>
        <v>70</v>
      </c>
      <c r="AC46" s="40">
        <f t="shared" si="12"/>
        <v>9997.9095841181952</v>
      </c>
      <c r="AD46" s="123">
        <f t="shared" si="1"/>
        <v>2214.625</v>
      </c>
      <c r="AE46">
        <f t="shared" si="2"/>
        <v>31</v>
      </c>
    </row>
    <row r="47" spans="1:36">
      <c r="A47">
        <f t="shared" si="3"/>
        <v>9</v>
      </c>
      <c r="B47" s="99">
        <f>MIN(EDATE(B46,1),IF('HIDDEN Redemption'!$B$11="",'HIDDEN Front Sheet'!$C$22,'HIDDEN Redemption'!$B$11))</f>
        <v>46447</v>
      </c>
      <c r="C47" s="40">
        <f>IFERROR(IF(OR(A47&gt;'HIDDEN Redemption'!$B$12,$A47&gt;$C$5),"",D46*$C$9/365*($B47-$B46)),"")</f>
        <v>725.07876444517012</v>
      </c>
      <c r="D47" s="40">
        <f>IF(OR(C47="",C47=0),"",D46+C47+IF(OR($A47=$C$5,$B47='HIDDEN Redemption'!$B$11),$D$31,0))</f>
        <v>113247.93123999238</v>
      </c>
      <c r="E47">
        <f t="shared" si="4"/>
        <v>10</v>
      </c>
      <c r="F47" s="99">
        <f>MIN(EDATE(F46,1),IF('HIDDEN Redemption'!$B$11="",'HIDDEN Front Sheet'!$C$22,'HIDDEN Redemption'!$B$11))</f>
        <v>46478</v>
      </c>
      <c r="G47" s="40">
        <f>IFERROR(IF(OR(E47&gt;'HIDDEN Redemption'!$B$12,$E47&gt;$C$5),"",H46*$C$9/365*($F47-$F46)),"")</f>
        <v>759.48241873483983</v>
      </c>
      <c r="H47" s="40">
        <f t="shared" si="13"/>
        <v>107215.35140422506</v>
      </c>
      <c r="I47">
        <f t="shared" si="6"/>
        <v>11</v>
      </c>
      <c r="J47" s="99">
        <f>MIN(EDATE(J46,1),IF('HIDDEN Redemption'!$B$11="",'HIDDEN Front Sheet'!$C$22,'HIDDEN Redemption'!$B$11))</f>
        <v>46508</v>
      </c>
      <c r="K47" s="40">
        <f>IFERROR(IF(OR(I47&gt;'HIDDEN Redemption'!$B$12,$I47&gt;$C$5),"",L46*$C$9/365*($J47-$J46)),"")</f>
        <v>729.97883287397474</v>
      </c>
      <c r="L47" s="40">
        <f t="shared" si="7"/>
        <v>106461.03994358859</v>
      </c>
      <c r="M47">
        <f t="shared" si="8"/>
        <v>12</v>
      </c>
      <c r="N47" s="99">
        <f>MIN(EDATE(N46,1),IF('HIDDEN Redemption'!$B$11="",'HIDDEN Front Sheet'!$C$22,'HIDDEN Redemption'!$B$11))</f>
        <v>46539</v>
      </c>
      <c r="O47" s="40">
        <f>IFERROR(IF(OR(M47&gt;'HIDDEN Redemption'!$B$12,$M47&gt;$C$5),"",P46*$C$9/365*($N47-$N46)),"")</f>
        <v>80.067771825208439</v>
      </c>
      <c r="P47" s="40">
        <f t="shared" si="9"/>
        <v>11303.084943945438</v>
      </c>
      <c r="Q47" s="96">
        <f t="shared" si="0"/>
        <v>0</v>
      </c>
      <c r="R47" s="40">
        <f>IF(OR(A47&gt;'HIDDEN Redemption'!$B$12,$A47&gt;$C$5),"",T46*$C$9/365*($B47-$B46))</f>
        <v>685.72965811199469</v>
      </c>
      <c r="S47" s="89">
        <f>IF(OR(A47&gt;'HIDDEN Redemption'!$B$12,DAY($B47)&lt;&gt;DAY($B46)),0,S46)</f>
        <v>744.625</v>
      </c>
      <c r="T47" s="40">
        <f>IFERROR(T46+R47-S47+IF(OR($A47=$C$5,$A47='HIDDEN Redemption'!$B$12),$S$31,0),"")</f>
        <v>106357.48442464178</v>
      </c>
      <c r="U47" s="40">
        <f>IF(OR(E47&gt;'HIDDEN Redemption'!$B$12,$E47&gt;$C$5),"",W46*$C$9/365*($F47-$F46))</f>
        <v>713.27897074485418</v>
      </c>
      <c r="V47" s="89">
        <f>IF(OR(E47&gt;'HIDDEN Redemption'!$B$12,DAY($F47)&lt;&gt;DAY($F46)),0,V46)</f>
        <v>700</v>
      </c>
      <c r="W47" s="40">
        <f t="shared" si="10"/>
        <v>99992.858203414493</v>
      </c>
      <c r="X47" s="40">
        <f>IF(OR(I47&gt;'HIDDEN Redemption'!$B$12,$I47&gt;$C$5),"",Z46*$C$9/365*($J47-$J46))</f>
        <v>690.26434818285088</v>
      </c>
      <c r="Y47" s="40">
        <f>IF(OR(I47&gt;'HIDDEN Redemption'!$B$12,DAY($J47)&lt;&gt;DAY($J46)),0,Y46)</f>
        <v>700</v>
      </c>
      <c r="Z47" s="40">
        <f t="shared" si="11"/>
        <v>99969.02906514339</v>
      </c>
      <c r="AA47" s="40">
        <f>IF(OR(M47&gt;'HIDDEN Redemption'!$B$12,$M47&gt;$C$5),"",AC46*$C$9/365*($N47-$N46))</f>
        <v>71.327552211078853</v>
      </c>
      <c r="AB47" s="40">
        <f>IF(OR(M47&gt;'HIDDEN Redemption'!$B$12,DAY($N47)&lt;&gt;DAY($N46)),0,AB46)</f>
        <v>70</v>
      </c>
      <c r="AC47" s="40">
        <f t="shared" si="12"/>
        <v>9999.2371363292732</v>
      </c>
      <c r="AD47" s="123">
        <f t="shared" si="1"/>
        <v>2214.625</v>
      </c>
      <c r="AE47">
        <f t="shared" si="2"/>
        <v>28</v>
      </c>
    </row>
    <row r="48" spans="1:36">
      <c r="A48">
        <f t="shared" si="3"/>
        <v>10</v>
      </c>
      <c r="B48" s="99">
        <f>MIN(EDATE(B47,1),IF('HIDDEN Redemption'!$B$11="",'HIDDEN Front Sheet'!$C$22,'HIDDEN Redemption'!$B$11))</f>
        <v>46478</v>
      </c>
      <c r="C48" s="40">
        <f>IFERROR(IF(OR(A48&gt;'HIDDEN Redemption'!$B$12,$A48&gt;$C$5),"",D47*$C$9/365*($B48-$B47)),"")</f>
        <v>807.93866561353468</v>
      </c>
      <c r="D48" s="40">
        <f>IF(OR(C48="",C48=0),"",D47+C48+IF(OR($A48=$C$5,$B48='HIDDEN Redemption'!$B$11),$D$31,0))</f>
        <v>114055.86990560591</v>
      </c>
      <c r="E48">
        <f t="shared" si="4"/>
        <v>11</v>
      </c>
      <c r="F48" s="99">
        <f>MIN(EDATE(F47,1),IF('HIDDEN Redemption'!$B$11="",'HIDDEN Front Sheet'!$C$22,'HIDDEN Redemption'!$B$11))</f>
        <v>46508</v>
      </c>
      <c r="G48" s="40">
        <f>IFERROR(IF(OR(E48&gt;'HIDDEN Redemption'!$B$12,$E48&gt;$C$5),"",H47*$C$9/365*($F48-$F47)),"")</f>
        <v>740.22653572232105</v>
      </c>
      <c r="H48" s="40">
        <f t="shared" si="13"/>
        <v>107955.57793994738</v>
      </c>
      <c r="I48">
        <f t="shared" si="6"/>
        <v>12</v>
      </c>
      <c r="J48" s="99">
        <f>MIN(EDATE(J47,1),IF('HIDDEN Redemption'!$B$11="",'HIDDEN Front Sheet'!$C$22,'HIDDEN Redemption'!$B$11))</f>
        <v>46539</v>
      </c>
      <c r="K48" s="40">
        <f>IFERROR(IF(OR(I48&gt;'HIDDEN Redemption'!$B$12,$I48&gt;$C$5),"",L47*$C$9/365*($J48-$J47)),"")</f>
        <v>759.51930962494441</v>
      </c>
      <c r="L48" s="40">
        <f t="shared" si="7"/>
        <v>107220.55925321353</v>
      </c>
      <c r="M48">
        <f t="shared" si="8"/>
        <v>13</v>
      </c>
      <c r="N48" s="99">
        <f>MIN(EDATE(N47,1),IF('HIDDEN Redemption'!$B$11="",'HIDDEN Front Sheet'!$C$22,'HIDDEN Redemption'!$B$11))</f>
        <v>46539</v>
      </c>
      <c r="O48" s="40" t="str">
        <f>IFERROR(IF(OR(M48&gt;'HIDDEN Redemption'!$B$12,$M48&gt;$C$5),"",P47*$C$9/365*($N48-$N47)),"")</f>
        <v/>
      </c>
      <c r="P48" s="40" t="str">
        <f t="shared" si="9"/>
        <v/>
      </c>
      <c r="Q48" s="96">
        <f t="shared" si="0"/>
        <v>0</v>
      </c>
      <c r="R48" s="40">
        <f>IF(OR(A48&gt;'HIDDEN Redemption'!$B$12,$A48&gt;$C$5),"",T47*$C$9/365*($B48-$B47))</f>
        <v>758.7805190185403</v>
      </c>
      <c r="S48" s="89">
        <f>IF(OR(A48&gt;'HIDDEN Redemption'!$B$12,DAY($B48)&lt;&gt;DAY($B47)),0,S47)</f>
        <v>744.625</v>
      </c>
      <c r="T48" s="40">
        <f>IFERROR(T47+R48-S48+IF(OR($A48=$C$5,$A48='HIDDEN Redemption'!$B$12),$S$31,0),"")</f>
        <v>106371.63994366032</v>
      </c>
      <c r="U48" s="40">
        <f>IF(OR(E48&gt;'HIDDEN Redemption'!$B$12,$E48&gt;$C$5),"",W47*$C$9/365*($F48-$F47))</f>
        <v>690.36165115782057</v>
      </c>
      <c r="V48" s="89">
        <f>IF(OR(E48&gt;'HIDDEN Redemption'!$B$12,DAY($F48)&lt;&gt;DAY($F47)),0,V47)</f>
        <v>700</v>
      </c>
      <c r="W48" s="40">
        <f t="shared" si="10"/>
        <v>99983.219854572308</v>
      </c>
      <c r="X48" s="40">
        <f>IF(OR(I48&gt;'HIDDEN Redemption'!$B$12,$I48&gt;$C$5),"",Z47*$C$9/365*($J48-$J47))</f>
        <v>713.20370324831072</v>
      </c>
      <c r="Y48" s="40">
        <f>IF(OR(I48&gt;'HIDDEN Redemption'!$B$12,DAY($J48)&lt;&gt;DAY($J47)),0,Y47)</f>
        <v>700</v>
      </c>
      <c r="Z48" s="40">
        <f t="shared" si="11"/>
        <v>99982.232768391696</v>
      </c>
      <c r="AA48" s="40" t="str">
        <f>IF(OR(M48&gt;'HIDDEN Redemption'!$B$12,$M48&gt;$C$5),"",AC47*$C$9/365*($N48-$N47))</f>
        <v/>
      </c>
      <c r="AB48" s="40">
        <f>IF(OR(M48&gt;'HIDDEN Redemption'!$B$12,DAY($N48)&lt;&gt;DAY($N47)),0,AB47)</f>
        <v>0</v>
      </c>
      <c r="AC48" s="40" t="str">
        <f t="shared" si="12"/>
        <v/>
      </c>
      <c r="AD48" s="123">
        <f t="shared" si="1"/>
        <v>2214.625</v>
      </c>
      <c r="AE48">
        <f t="shared" si="2"/>
        <v>31</v>
      </c>
    </row>
    <row r="49" spans="1:34">
      <c r="A49">
        <f t="shared" si="3"/>
        <v>11</v>
      </c>
      <c r="B49" s="99">
        <f>MIN(EDATE(B48,1),IF('HIDDEN Redemption'!$B$11="",'HIDDEN Front Sheet'!$C$22,'HIDDEN Redemption'!$B$11))</f>
        <v>46508</v>
      </c>
      <c r="C49" s="40">
        <f>IFERROR(IF(OR(A49&gt;'HIDDEN Redemption'!$B$12,$A49&gt;$C$5),"",D48*$C$9/365*($B49-$B48)),"")</f>
        <v>787.45422510171761</v>
      </c>
      <c r="D49" s="40">
        <f>IF(OR(C49="",C49=0),"",D48+C49+IF(OR($A49=$C$5,$B49='HIDDEN Redemption'!$B$11),$D$31,0))</f>
        <v>114843.32413070762</v>
      </c>
      <c r="E49">
        <f t="shared" si="4"/>
        <v>12</v>
      </c>
      <c r="F49" s="99">
        <f>MIN(EDATE(F48,1),IF('HIDDEN Redemption'!$B$11="",'HIDDEN Front Sheet'!$C$22,'HIDDEN Redemption'!$B$11))</f>
        <v>46539</v>
      </c>
      <c r="G49" s="40">
        <f>IFERROR(IF(OR(E49&gt;'HIDDEN Redemption'!$B$12,$E49&gt;$C$5),"",H48*$C$9/365*($F49-$F48)),"")</f>
        <v>770.18171220718614</v>
      </c>
      <c r="H49" s="40">
        <f t="shared" si="13"/>
        <v>108725.75965215456</v>
      </c>
      <c r="I49">
        <f t="shared" si="6"/>
        <v>13</v>
      </c>
      <c r="J49" s="99">
        <f>MIN(EDATE(J48,1),IF('HIDDEN Redemption'!$B$11="",'HIDDEN Front Sheet'!$C$22,'HIDDEN Redemption'!$B$11))</f>
        <v>46539</v>
      </c>
      <c r="K49" s="40" t="str">
        <f>IFERROR(IF(OR(I49&gt;'HIDDEN Redemption'!$B$12,$I49&gt;$C$5),"",L48*$C$9/365*($J49-$J48)),"")</f>
        <v/>
      </c>
      <c r="L49" s="40" t="str">
        <f>IF(K49="","",L48+K49)</f>
        <v/>
      </c>
      <c r="M49">
        <f t="shared" si="8"/>
        <v>14</v>
      </c>
      <c r="N49" s="99">
        <f>MIN(EDATE(N48,1),IF('HIDDEN Redemption'!$B$11="",'HIDDEN Front Sheet'!$C$22,'HIDDEN Redemption'!$B$11))</f>
        <v>46539</v>
      </c>
      <c r="O49" s="40" t="str">
        <f>IFERROR(IF(OR(M49&gt;'HIDDEN Redemption'!$B$12,$M49&gt;$C$5),"",P48*$C$9/365*($N49-$N48)),"")</f>
        <v/>
      </c>
      <c r="P49" s="40" t="str">
        <f>IF(O49="","",P48+O49)</f>
        <v/>
      </c>
      <c r="Q49" s="96">
        <f t="shared" si="0"/>
        <v>0</v>
      </c>
      <c r="R49" s="40">
        <f>IF(OR(A49&gt;'HIDDEN Redemption'!$B$12,$A49&gt;$C$5),"",T48*$C$9/365*($B49-$B48))</f>
        <v>734.40145933705219</v>
      </c>
      <c r="S49" s="89">
        <f>IF(OR(A49&gt;'HIDDEN Redemption'!$B$12,DAY($B49)&lt;&gt;DAY($B48)),0,S48)</f>
        <v>744.625</v>
      </c>
      <c r="T49" s="40">
        <f>IFERROR(T48+R49-S49+IF(OR($A49=$C$5,$A49='HIDDEN Redemption'!$B$12),$S$31,0),"")</f>
        <v>106361.41640299738</v>
      </c>
      <c r="U49" s="40">
        <f>IF(OR(E49&gt;'HIDDEN Redemption'!$B$12,$E49&gt;$C$5),"",W48*$C$9/365*($F49-$F48))</f>
        <v>713.30494383919529</v>
      </c>
      <c r="V49" s="89">
        <f>IF(OR(E49&gt;'HIDDEN Redemption'!$B$12,DAY($F49)&lt;&gt;DAY($F48)),0,V48)</f>
        <v>700</v>
      </c>
      <c r="W49" s="40">
        <f t="shared" si="10"/>
        <v>99996.524798411498</v>
      </c>
      <c r="X49" s="40" t="str">
        <f>IF(OR(I49&gt;'HIDDEN Redemption'!$B$12,$I49&gt;$C$5),"",Z48*$C$9/365*($J49-$J48))</f>
        <v/>
      </c>
      <c r="Y49" s="40">
        <f>IF(OR(I49&gt;'HIDDEN Redemption'!$B$12,DAY($J49)&lt;&gt;DAY($J48)),0,Y48)</f>
        <v>0</v>
      </c>
      <c r="Z49" s="40" t="str">
        <f t="shared" si="11"/>
        <v/>
      </c>
      <c r="AA49" s="40" t="str">
        <f>IF(OR(M49&gt;'HIDDEN Redemption'!$B$12,$M49&gt;$C$5),"",AC48*$C$9/365*($N49-$N48))</f>
        <v/>
      </c>
      <c r="AB49" s="40">
        <f>IF(OR(M49&gt;'HIDDEN Redemption'!$B$12,DAY($N49)&lt;&gt;DAY($N48)),0,AB48)</f>
        <v>0</v>
      </c>
      <c r="AC49" s="40" t="str">
        <f t="shared" si="12"/>
        <v/>
      </c>
      <c r="AD49" s="123">
        <f t="shared" si="1"/>
        <v>2214.625</v>
      </c>
      <c r="AE49">
        <f t="shared" si="2"/>
        <v>30</v>
      </c>
    </row>
    <row r="50" spans="1:34">
      <c r="A50">
        <f t="shared" si="3"/>
        <v>12</v>
      </c>
      <c r="B50" s="99">
        <f>MIN(EDATE(B49,1),IF('HIDDEN Redemption'!$B$11="",'HIDDEN Front Sheet'!$C$22,'HIDDEN Redemption'!$B$11))</f>
        <v>46539</v>
      </c>
      <c r="C50" s="40">
        <f>IFERROR(IF(OR(A50&gt;'HIDDEN Redemption'!$B$12,$A50&gt;$C$5),"",D49*$C$9/365*($B50-$B49)),"")</f>
        <v>819.32059188044559</v>
      </c>
      <c r="D50" s="40">
        <f>IF(OR(C50="",C50=0),"",D49+C50+IF(OR($A50=$C$5,$B50='HIDDEN Redemption'!$B$11),$D$31,0))</f>
        <v>115767.64472258807</v>
      </c>
      <c r="E50">
        <f t="shared" si="4"/>
        <v>13</v>
      </c>
      <c r="F50" s="99">
        <f>MIN(EDATE(F49,1),IF('HIDDEN Redemption'!$B$11="",'HIDDEN Front Sheet'!$C$22,'HIDDEN Redemption'!$B$11))</f>
        <v>46539</v>
      </c>
      <c r="G50" s="40" t="str">
        <f>IFERROR(IF(OR(E50&gt;'HIDDEN Redemption'!$B$12,$E50&gt;$C$5),"",H49*$C$9/365*($F50-$F49)),"")</f>
        <v/>
      </c>
      <c r="H50" s="40" t="str">
        <f t="shared" si="13"/>
        <v/>
      </c>
      <c r="I50">
        <f t="shared" si="6"/>
        <v>14</v>
      </c>
      <c r="J50" s="99">
        <f>MIN(EDATE(J49,1),IF('HIDDEN Redemption'!$B$11="",'HIDDEN Front Sheet'!$C$22,'HIDDEN Redemption'!$B$11))</f>
        <v>46539</v>
      </c>
      <c r="K50" s="40" t="str">
        <f>IFERROR(IF(OR(I50&gt;'HIDDEN Redemption'!$B$12,$I50&gt;$C$5),"",L49*$C$9/365*($J50-$J49)),"")</f>
        <v/>
      </c>
      <c r="L50" s="40" t="str">
        <f>IF(K50="","",L49+K50)</f>
        <v/>
      </c>
      <c r="M50">
        <f t="shared" si="8"/>
        <v>15</v>
      </c>
      <c r="N50" s="99">
        <f>MIN(EDATE(N49,1),IF('HIDDEN Redemption'!$B$11="",'HIDDEN Front Sheet'!$C$22,'HIDDEN Redemption'!$B$11))</f>
        <v>46539</v>
      </c>
      <c r="O50" s="40" t="str">
        <f>IFERROR(IF(OR(M50&gt;'HIDDEN Redemption'!$B$12,$M50&gt;$C$5),"",P49*$C$9/365*($N50-$N49)),"")</f>
        <v/>
      </c>
      <c r="P50" s="40" t="str">
        <f>IF(O50="","",P49+O50)</f>
        <v/>
      </c>
      <c r="Q50" s="96">
        <f t="shared" si="0"/>
        <v>343017.04857190163</v>
      </c>
      <c r="R50" s="40">
        <f>IF(OR(A50&gt;'HIDDEN Redemption'!$B$12,$A50&gt;$C$5),"",T49*$C$9/365*($B50-$B49))</f>
        <v>758.80857072165804</v>
      </c>
      <c r="S50" s="89">
        <f>IF(OR(A50&gt;'HIDDEN Redemption'!$B$12,DAY($B50)&lt;&gt;DAY($B49)),0,S49)</f>
        <v>744.625</v>
      </c>
      <c r="T50" s="40">
        <f>IFERROR(T49+R50-S50+IF(OR($A50=$C$5,$A50='HIDDEN Redemption'!$B$12),$S$31,0),"")</f>
        <v>106480.59997371903</v>
      </c>
      <c r="U50" s="40" t="str">
        <f>IF(OR(E50&gt;'HIDDEN Redemption'!$B$12,$E50&gt;$C$5),"",W49*$C$9/365*($F50-$F49))</f>
        <v/>
      </c>
      <c r="V50" s="89">
        <f>IF(OR(E50&gt;'HIDDEN Redemption'!$B$12,DAY($F50)&lt;&gt;DAY($F49)),0,V49)</f>
        <v>0</v>
      </c>
      <c r="W50" s="40" t="str">
        <f t="shared" si="10"/>
        <v/>
      </c>
      <c r="X50" s="40" t="str">
        <f>IF(OR(I50&gt;'HIDDEN Redemption'!$B$12,$I50&gt;$C$5),"",Z49*$C$9/365*($J50-$J49))</f>
        <v/>
      </c>
      <c r="Y50" s="40">
        <f>IF(OR(I50&gt;'HIDDEN Redemption'!$B$12,DAY($J50)&lt;&gt;DAY($J49)),0,Y49)</f>
        <v>0</v>
      </c>
      <c r="Z50" s="40" t="str">
        <f t="shared" si="11"/>
        <v/>
      </c>
      <c r="AA50" s="40" t="str">
        <f>IF(OR(M50&gt;'HIDDEN Redemption'!$B$12,$M50&gt;$C$5),"",AC49*$C$9/365*($N50-$N49))</f>
        <v/>
      </c>
      <c r="AB50" s="40">
        <f>IF(OR(M50&gt;'HIDDEN Redemption'!$B$12,DAY($N50)&lt;&gt;DAY($N49)),0,AB49)</f>
        <v>0</v>
      </c>
      <c r="AC50" s="40" t="str">
        <f t="shared" si="12"/>
        <v/>
      </c>
      <c r="AD50" s="123">
        <f t="shared" si="1"/>
        <v>318673.21967685153</v>
      </c>
      <c r="AE50">
        <f t="shared" si="2"/>
        <v>31</v>
      </c>
      <c r="AH50" s="124"/>
    </row>
    <row r="51" spans="1:34">
      <c r="A51">
        <f t="shared" si="3"/>
        <v>13</v>
      </c>
      <c r="B51" s="99">
        <f>MIN(EDATE(B50,1),IF('HIDDEN Redemption'!$B$11="",'HIDDEN Front Sheet'!$C$22,'HIDDEN Redemption'!$B$11))</f>
        <v>46539</v>
      </c>
      <c r="C51" s="40" t="str">
        <f>IFERROR(IF(OR(A51&gt;'HIDDEN Redemption'!$B$12,$A51&gt;$C$5),"",D50*$C$9/365*($B51-$B50)),"")</f>
        <v/>
      </c>
      <c r="D51" s="40" t="str">
        <f>IF(OR(C51="",C51=0),"",D50+C51+IF(OR($A51=$C$5,$B51='HIDDEN Redemption'!$B$11),$D$31,0))</f>
        <v/>
      </c>
      <c r="E51">
        <f t="shared" si="4"/>
        <v>14</v>
      </c>
      <c r="F51" s="99">
        <f>MIN(EDATE(F50,1),IF('HIDDEN Redemption'!$B$11="",'HIDDEN Front Sheet'!$C$22,'HIDDEN Redemption'!$B$11))</f>
        <v>46539</v>
      </c>
      <c r="G51" s="40" t="str">
        <f>IFERROR(IF(OR(E51&gt;'HIDDEN Redemption'!$B$12,$E51&gt;$C$5),"",H50*$C$9/365*($F51-$F50)),"")</f>
        <v/>
      </c>
      <c r="H51" s="40" t="str">
        <f t="shared" si="13"/>
        <v/>
      </c>
      <c r="I51">
        <f t="shared" si="6"/>
        <v>15</v>
      </c>
      <c r="J51" s="99">
        <f>MIN(EDATE(J50,1),IF('HIDDEN Redemption'!$B$11="",'HIDDEN Front Sheet'!$C$22,'HIDDEN Redemption'!$B$11))</f>
        <v>46539</v>
      </c>
      <c r="K51" s="40" t="str">
        <f>IFERROR(IF(OR(I51&gt;'HIDDEN Redemption'!$B$12,$I51&gt;$C$5),"",L50*$C$9/365*($J51-$J50)),"")</f>
        <v/>
      </c>
      <c r="L51" s="40" t="str">
        <f t="shared" ref="L51:L55" si="14">IF(K51="","",L50+K51)</f>
        <v/>
      </c>
      <c r="M51">
        <f t="shared" si="8"/>
        <v>16</v>
      </c>
      <c r="N51" s="99">
        <f>MIN(EDATE(N50,1),IF('HIDDEN Redemption'!$B$11="",'HIDDEN Front Sheet'!$C$22,'HIDDEN Redemption'!$B$11))</f>
        <v>46539</v>
      </c>
      <c r="O51" s="40" t="str">
        <f>IFERROR(IF(OR(M51&gt;'HIDDEN Redemption'!$B$12,$M51&gt;$C$5),"",P50*$C$9/365*($N51-$N50)),"")</f>
        <v/>
      </c>
      <c r="P51" s="40" t="str">
        <f t="shared" ref="P51:P55" si="15">IF(O51="","",P50+O51)</f>
        <v/>
      </c>
      <c r="Q51" s="96">
        <f t="shared" si="0"/>
        <v>0</v>
      </c>
      <c r="R51" s="40" t="str">
        <f>IF(OR(A51&gt;'HIDDEN Redemption'!$B$12,$A51&gt;$C$5),"",T50*$C$9/365*($B51-$B50))</f>
        <v/>
      </c>
      <c r="S51" s="89">
        <f>IF(OR(A51&gt;'HIDDEN Redemption'!$B$12,DAY($B51)&lt;&gt;DAY($B50)),0,S50)</f>
        <v>0</v>
      </c>
      <c r="T51" s="40" t="str">
        <f>IFERROR(T50+R51-S51+IF(OR($A51=$C$5,$A51='HIDDEN Redemption'!$B$12),$S$31,0),"")</f>
        <v/>
      </c>
      <c r="U51" s="40" t="str">
        <f>IF(OR(E51&gt;'HIDDEN Redemption'!$B$12,$E51&gt;$C$5),"",W50*$C$9/365*($F51-$F50))</f>
        <v/>
      </c>
      <c r="V51" s="89">
        <f>IF(OR(E51&gt;'HIDDEN Redemption'!$B$12,DAY($F51)&lt;&gt;DAY($F50)),0,V50)</f>
        <v>0</v>
      </c>
      <c r="W51" s="40" t="str">
        <f t="shared" si="10"/>
        <v/>
      </c>
      <c r="X51" s="40" t="str">
        <f>IF(OR(I51&gt;'HIDDEN Redemption'!$B$12,$I51&gt;$C$5),"",Z50*$C$9/365*($J51-$J50))</f>
        <v/>
      </c>
      <c r="Y51" s="40">
        <f>IF(OR(I51&gt;'HIDDEN Redemption'!$B$12,DAY($J51)&lt;&gt;DAY($J50)),0,Y50)</f>
        <v>0</v>
      </c>
      <c r="Z51" s="40" t="str">
        <f t="shared" si="11"/>
        <v/>
      </c>
      <c r="AA51" s="40" t="str">
        <f>IF(OR(M51&gt;'HIDDEN Redemption'!$B$12,$M51&gt;$C$5),"",AC50*$C$9/365*($N51-$N50))</f>
        <v/>
      </c>
      <c r="AB51" s="40">
        <f>IF(OR(M51&gt;'HIDDEN Redemption'!$B$12,DAY($N51)&lt;&gt;DAY($N50)),0,AB50)</f>
        <v>0</v>
      </c>
      <c r="AC51" s="40" t="str">
        <f t="shared" si="12"/>
        <v/>
      </c>
      <c r="AD51" s="123">
        <f t="shared" si="1"/>
        <v>0</v>
      </c>
      <c r="AH51" s="124"/>
    </row>
    <row r="52" spans="1:34">
      <c r="A52">
        <f t="shared" si="3"/>
        <v>14</v>
      </c>
      <c r="B52" s="99">
        <f>MIN(EDATE(B51,1),IF('HIDDEN Redemption'!$B$11="",'HIDDEN Front Sheet'!$C$22,'HIDDEN Redemption'!$B$11))</f>
        <v>46539</v>
      </c>
      <c r="C52" s="40" t="str">
        <f>IFERROR(IF(OR(A52&gt;'HIDDEN Redemption'!$B$12,$A52&gt;$C$5),"",D51*$C$9/365*($B52-$B51)),"")</f>
        <v/>
      </c>
      <c r="D52" s="40" t="str">
        <f>IF(OR(C52="",C52=0),"",D51+C52+IF(OR($A52=$C$5,$B52='HIDDEN Redemption'!$B$11),$D$31,0))</f>
        <v/>
      </c>
      <c r="E52">
        <f t="shared" si="4"/>
        <v>15</v>
      </c>
      <c r="F52" s="99">
        <f>MIN(EDATE(F51,1),IF('HIDDEN Redemption'!$B$11="",'HIDDEN Front Sheet'!$C$22,'HIDDEN Redemption'!$B$11))</f>
        <v>46539</v>
      </c>
      <c r="G52" s="40" t="str">
        <f>IFERROR(IF(OR(E52&gt;'HIDDEN Redemption'!$B$12,$E52&gt;$C$5),"",H51*$C$9/365*($F52-$F51)),"")</f>
        <v/>
      </c>
      <c r="H52" s="40" t="str">
        <f t="shared" si="13"/>
        <v/>
      </c>
      <c r="I52">
        <f t="shared" si="6"/>
        <v>16</v>
      </c>
      <c r="J52" s="99">
        <f>MIN(EDATE(J51,1),IF('HIDDEN Redemption'!$B$11="",'HIDDEN Front Sheet'!$C$22,'HIDDEN Redemption'!$B$11))</f>
        <v>46539</v>
      </c>
      <c r="K52" s="40" t="str">
        <f>IFERROR(IF(OR(I52&gt;'HIDDEN Redemption'!$B$12,$I52&gt;$C$5),"",L51*$C$9/365*($J52-$J51)),"")</f>
        <v/>
      </c>
      <c r="L52" s="40" t="str">
        <f t="shared" si="14"/>
        <v/>
      </c>
      <c r="M52">
        <f t="shared" si="8"/>
        <v>17</v>
      </c>
      <c r="N52" s="99">
        <f>MIN(EDATE(N51,1),IF('HIDDEN Redemption'!$B$11="",'HIDDEN Front Sheet'!$C$22,'HIDDEN Redemption'!$B$11))</f>
        <v>46539</v>
      </c>
      <c r="O52" s="40" t="str">
        <f>IFERROR(IF(OR(M52&gt;'HIDDEN Redemption'!$B$12,$M52&gt;$C$5),"",P51*$C$9/365*($N52-$N51)),"")</f>
        <v/>
      </c>
      <c r="P52" s="40" t="str">
        <f t="shared" si="15"/>
        <v/>
      </c>
      <c r="Q52" s="96">
        <f t="shared" si="0"/>
        <v>0</v>
      </c>
      <c r="R52" s="40" t="str">
        <f>IF(OR(A52&gt;'HIDDEN Redemption'!$B$12,$A52&gt;$C$5),"",T51*$C$9/365*($B52-$B51))</f>
        <v/>
      </c>
      <c r="S52" s="89">
        <f>IF(OR(A52&gt;'HIDDEN Redemption'!$B$12,DAY($B52)&lt;&gt;DAY($B51)),0,S51)</f>
        <v>0</v>
      </c>
      <c r="T52" s="40" t="str">
        <f>IFERROR(T51+R52-S52+IF(OR($A52=$C$5,$A52='HIDDEN Redemption'!$B$12),$S$31,0),"")</f>
        <v/>
      </c>
      <c r="U52" s="40" t="str">
        <f>IF(OR(E52&gt;'HIDDEN Redemption'!$B$12,$E52&gt;$C$5),"",W51*$C$9/365*($F52-$F51))</f>
        <v/>
      </c>
      <c r="V52" s="89">
        <f>IF(OR(E52&gt;'HIDDEN Redemption'!$B$12,DAY($F52)&lt;&gt;DAY($F51)),0,V51)</f>
        <v>0</v>
      </c>
      <c r="W52" s="40" t="str">
        <f t="shared" si="10"/>
        <v/>
      </c>
      <c r="X52" s="40" t="str">
        <f>IF(OR(I52&gt;'HIDDEN Redemption'!$B$12,$I52&gt;$C$5),"",Z51*$C$9/365*($J52-$J51))</f>
        <v/>
      </c>
      <c r="Y52" s="40">
        <f>IF(OR(I52&gt;'HIDDEN Redemption'!$B$12,DAY($J52)&lt;&gt;DAY($J51)),0,Y51)</f>
        <v>0</v>
      </c>
      <c r="Z52" s="40" t="str">
        <f t="shared" si="11"/>
        <v/>
      </c>
      <c r="AA52" s="40" t="str">
        <f>IF(OR(M52&gt;'HIDDEN Redemption'!$B$12,$M52&gt;$C$5),"",AC51*$C$9/365*($N52-$N51))</f>
        <v/>
      </c>
      <c r="AB52" s="40">
        <f>IF(OR(M52&gt;'HIDDEN Redemption'!$B$12,DAY($N52)&lt;&gt;DAY($N51)),0,AB51)</f>
        <v>0</v>
      </c>
      <c r="AC52" s="40" t="str">
        <f t="shared" si="12"/>
        <v/>
      </c>
      <c r="AD52" s="123">
        <f t="shared" si="1"/>
        <v>0</v>
      </c>
    </row>
    <row r="53" spans="1:34">
      <c r="A53">
        <f t="shared" si="3"/>
        <v>15</v>
      </c>
      <c r="B53" s="99">
        <f>MIN(EDATE(B52,1),IF('HIDDEN Redemption'!$B$11="",'HIDDEN Front Sheet'!$C$22,'HIDDEN Redemption'!$B$11))</f>
        <v>46539</v>
      </c>
      <c r="C53" s="40" t="str">
        <f>IFERROR(IF(OR(A53&gt;'HIDDEN Redemption'!$B$12,$A53&gt;$C$5),"",D52*$C$9/365*($B53-$B52)),"")</f>
        <v/>
      </c>
      <c r="D53" s="40" t="str">
        <f>IF(OR(C53="",C53=0),"",D52+C53+IF(OR($A53=$C$5,$B53='HIDDEN Redemption'!$B$11),$D$31,0))</f>
        <v/>
      </c>
      <c r="E53">
        <f t="shared" si="4"/>
        <v>16</v>
      </c>
      <c r="F53" s="99">
        <f>MIN(EDATE(F52,1),IF('HIDDEN Redemption'!$B$11="",'HIDDEN Front Sheet'!$C$22,'HIDDEN Redemption'!$B$11))</f>
        <v>46539</v>
      </c>
      <c r="G53" s="40" t="str">
        <f>IFERROR(IF(OR(E53&gt;'HIDDEN Redemption'!$B$12,$E53&gt;$C$5),"",H52*$C$9/365*($F53-$F52)),"")</f>
        <v/>
      </c>
      <c r="H53" s="40" t="str">
        <f t="shared" si="13"/>
        <v/>
      </c>
      <c r="I53">
        <f t="shared" si="6"/>
        <v>17</v>
      </c>
      <c r="J53" s="99">
        <f>MIN(EDATE(J52,1),IF('HIDDEN Redemption'!$B$11="",'HIDDEN Front Sheet'!$C$22,'HIDDEN Redemption'!$B$11))</f>
        <v>46539</v>
      </c>
      <c r="K53" s="40" t="str">
        <f>IFERROR(IF(OR(I53&gt;'HIDDEN Redemption'!$B$12,$I53&gt;$C$5),"",L52*$C$9/365*($J53-$J52)),"")</f>
        <v/>
      </c>
      <c r="L53" s="40" t="str">
        <f t="shared" si="14"/>
        <v/>
      </c>
      <c r="M53">
        <f t="shared" si="8"/>
        <v>18</v>
      </c>
      <c r="N53" s="99">
        <f>MIN(EDATE(N52,1),IF('HIDDEN Redemption'!$B$11="",'HIDDEN Front Sheet'!$C$22,'HIDDEN Redemption'!$B$11))</f>
        <v>46539</v>
      </c>
      <c r="O53" s="40" t="str">
        <f>IFERROR(IF(OR(M53&gt;'HIDDEN Redemption'!$B$12,$M53&gt;$C$5),"",P52*$C$9/365*($N53-$N52)),"")</f>
        <v/>
      </c>
      <c r="P53" s="40" t="str">
        <f t="shared" si="15"/>
        <v/>
      </c>
      <c r="Q53" s="96">
        <f t="shared" si="0"/>
        <v>0</v>
      </c>
      <c r="R53" s="40" t="str">
        <f>IF(OR(A53&gt;'HIDDEN Redemption'!$B$12,$A53&gt;$C$5),"",T52*$C$9/365*($B53-$B52))</f>
        <v/>
      </c>
      <c r="S53" s="89">
        <f>IF(OR(A53&gt;'HIDDEN Redemption'!$B$12,DAY($B53)&lt;&gt;DAY($B52)),0,S52)</f>
        <v>0</v>
      </c>
      <c r="T53" s="40" t="str">
        <f>IFERROR(T52+R53-S53+IF(OR($A53=$C$5,$A53='HIDDEN Redemption'!$B$12),$S$31,0),"")</f>
        <v/>
      </c>
      <c r="U53" s="40" t="str">
        <f>IF(OR(E53&gt;'HIDDEN Redemption'!$B$12,$E53&gt;$C$5),"",W52*$C$9/365*($F53-$F52))</f>
        <v/>
      </c>
      <c r="V53" s="89">
        <f>IF(OR(E53&gt;'HIDDEN Redemption'!$B$12,DAY($F53)&lt;&gt;DAY($F52)),0,V52)</f>
        <v>0</v>
      </c>
      <c r="W53" s="40" t="str">
        <f t="shared" si="10"/>
        <v/>
      </c>
      <c r="X53" s="40" t="str">
        <f>IF(OR(I53&gt;'HIDDEN Redemption'!$B$12,$I53&gt;$C$5),"",Z52*$C$9/365*($J53-$J52))</f>
        <v/>
      </c>
      <c r="Y53" s="40">
        <f>IF(OR(I53&gt;'HIDDEN Redemption'!$B$12,DAY($J53)&lt;&gt;DAY($J52)),0,Y52)</f>
        <v>0</v>
      </c>
      <c r="Z53" s="40" t="str">
        <f t="shared" si="11"/>
        <v/>
      </c>
      <c r="AA53" s="40" t="str">
        <f>IF(OR(M53&gt;'HIDDEN Redemption'!$B$12,$M53&gt;$C$5),"",AC52*$C$9/365*($N53-$N52))</f>
        <v/>
      </c>
      <c r="AB53" s="40">
        <f>IF(OR(M53&gt;'HIDDEN Redemption'!$B$12,DAY($N53)&lt;&gt;DAY($N52)),0,AB52)</f>
        <v>0</v>
      </c>
      <c r="AC53" s="40" t="str">
        <f t="shared" si="12"/>
        <v/>
      </c>
      <c r="AD53" s="123">
        <f t="shared" si="1"/>
        <v>0</v>
      </c>
      <c r="AG53" s="12"/>
    </row>
    <row r="54" spans="1:34">
      <c r="A54">
        <f t="shared" si="3"/>
        <v>16</v>
      </c>
      <c r="B54" s="99">
        <f>MIN(EDATE(B53,1),IF('HIDDEN Redemption'!$B$11="",'HIDDEN Front Sheet'!$C$22,'HIDDEN Redemption'!$B$11))</f>
        <v>46539</v>
      </c>
      <c r="C54" s="40" t="str">
        <f>IFERROR(IF(OR(A54&gt;'HIDDEN Redemption'!$B$12,$A54&gt;$C$5),"",D53*$C$9/365*($B54-$B53)),"")</f>
        <v/>
      </c>
      <c r="D54" s="40" t="str">
        <f>IF(OR(C54="",C54=0),"",D53+C54+IF(OR($A54=$C$5,$B54='HIDDEN Redemption'!$B$11),$D$31,0))</f>
        <v/>
      </c>
      <c r="E54">
        <f t="shared" si="4"/>
        <v>17</v>
      </c>
      <c r="F54" s="99">
        <f>MIN(EDATE(F53,1),IF('HIDDEN Redemption'!$B$11="",'HIDDEN Front Sheet'!$C$22,'HIDDEN Redemption'!$B$11))</f>
        <v>46539</v>
      </c>
      <c r="G54" s="40" t="str">
        <f>IFERROR(IF(OR(E54&gt;'HIDDEN Redemption'!$B$12,$E54&gt;$C$5),"",H53*$C$9/365*($F54-$F53)),"")</f>
        <v/>
      </c>
      <c r="H54" s="40" t="str">
        <f t="shared" si="13"/>
        <v/>
      </c>
      <c r="I54">
        <f t="shared" si="6"/>
        <v>18</v>
      </c>
      <c r="J54" s="99">
        <f>MIN(EDATE(J53,1),IF('HIDDEN Redemption'!$B$11="",'HIDDEN Front Sheet'!$C$22,'HIDDEN Redemption'!$B$11))</f>
        <v>46539</v>
      </c>
      <c r="K54" s="40" t="str">
        <f>IFERROR(IF(OR(I54&gt;'HIDDEN Redemption'!$B$12,$I54&gt;$C$5),"",L53*$C$9/365*($J54-$J53)),"")</f>
        <v/>
      </c>
      <c r="L54" s="40" t="str">
        <f t="shared" si="14"/>
        <v/>
      </c>
      <c r="M54">
        <f t="shared" si="8"/>
        <v>19</v>
      </c>
      <c r="N54" s="99">
        <f>MIN(EDATE(N53,1),IF('HIDDEN Redemption'!$B$11="",'HIDDEN Front Sheet'!$C$22,'HIDDEN Redemption'!$B$11))</f>
        <v>46539</v>
      </c>
      <c r="O54" s="40" t="str">
        <f>IFERROR(IF(OR(M54&gt;'HIDDEN Redemption'!$B$12,$M54&gt;$C$5),"",P53*$C$9/365*($N54-$N53)),"")</f>
        <v/>
      </c>
      <c r="P54" s="40" t="str">
        <f t="shared" si="15"/>
        <v/>
      </c>
      <c r="Q54" s="96">
        <f t="shared" si="0"/>
        <v>0</v>
      </c>
      <c r="R54" s="40" t="str">
        <f>IF(OR(A54&gt;'HIDDEN Redemption'!$B$12,$A54&gt;$C$5),"",T53*$C$9/365*($B54-$B53))</f>
        <v/>
      </c>
      <c r="S54" s="89">
        <f>IF(OR(A54&gt;'HIDDEN Redemption'!$B$12,DAY($B54)&lt;&gt;DAY($B53)),0,S53)</f>
        <v>0</v>
      </c>
      <c r="T54" s="40" t="str">
        <f>IFERROR(T53+R54-S54+IF(OR($A54=$C$5,$A54='HIDDEN Redemption'!$B$12),$S$31,0),"")</f>
        <v/>
      </c>
      <c r="U54" s="40" t="str">
        <f>IF(OR(E54&gt;'HIDDEN Redemption'!$B$12,$E54&gt;$C$5),"",W53*$C$9/365*($F54-$F53))</f>
        <v/>
      </c>
      <c r="V54" s="89">
        <f>IF(OR(E54&gt;'HIDDEN Redemption'!$B$12,DAY($F54)&lt;&gt;DAY($F53)),0,V53)</f>
        <v>0</v>
      </c>
      <c r="W54" s="40" t="str">
        <f t="shared" si="10"/>
        <v/>
      </c>
      <c r="X54" s="40" t="str">
        <f>IF(OR(I54&gt;'HIDDEN Redemption'!$B$12,$I54&gt;$C$5),"",Z53*$C$9/365*($J54-$J53))</f>
        <v/>
      </c>
      <c r="Y54" s="40">
        <f>IF(OR(I54&gt;'HIDDEN Redemption'!$B$12,DAY($J54)&lt;&gt;DAY($J53)),0,Y53)</f>
        <v>0</v>
      </c>
      <c r="Z54" s="40" t="str">
        <f t="shared" si="11"/>
        <v/>
      </c>
      <c r="AA54" s="40" t="str">
        <f>IF(OR(M54&gt;'HIDDEN Redemption'!$B$12,$M54&gt;$C$5),"",AC53*$C$9/365*($N54-$N53))</f>
        <v/>
      </c>
      <c r="AB54" s="40">
        <f>IF(OR(M54&gt;'HIDDEN Redemption'!$B$12,DAY($N54)&lt;&gt;DAY($N53)),0,AB53)</f>
        <v>0</v>
      </c>
      <c r="AC54" s="40" t="str">
        <f t="shared" si="12"/>
        <v/>
      </c>
      <c r="AD54" s="123">
        <f t="shared" si="1"/>
        <v>0</v>
      </c>
      <c r="AG54" s="41"/>
    </row>
    <row r="55" spans="1:34">
      <c r="A55">
        <f t="shared" si="3"/>
        <v>17</v>
      </c>
      <c r="B55" s="99">
        <f>MIN(EDATE(B54,1),IF('HIDDEN Redemption'!$B$11="",'HIDDEN Front Sheet'!$C$22,'HIDDEN Redemption'!$B$11))</f>
        <v>46539</v>
      </c>
      <c r="C55" s="40" t="str">
        <f>IFERROR(IF(OR(A55&gt;'HIDDEN Redemption'!$B$12,$A55&gt;$C$5),"",D54*$C$9/365*($B55-$B54)),"")</f>
        <v/>
      </c>
      <c r="D55" s="40" t="str">
        <f>IF(OR(C55="",C55=0),"",D54+C55+IF(OR($A55=$C$5,$B55='HIDDEN Redemption'!$B$11),$D$31,0))</f>
        <v/>
      </c>
      <c r="E55">
        <f t="shared" si="4"/>
        <v>18</v>
      </c>
      <c r="F55" s="99">
        <f>MIN(EDATE(F54,1),IF('HIDDEN Redemption'!$B$11="",'HIDDEN Front Sheet'!$C$22,'HIDDEN Redemption'!$B$11))</f>
        <v>46539</v>
      </c>
      <c r="G55" s="40" t="str">
        <f>IFERROR(IF(OR(E55&gt;'HIDDEN Redemption'!$B$12,$E55&gt;$C$5),"",H54*$C$9/365*($F55-$F54)),"")</f>
        <v/>
      </c>
      <c r="H55" s="40" t="str">
        <f t="shared" si="13"/>
        <v/>
      </c>
      <c r="I55">
        <f t="shared" si="6"/>
        <v>19</v>
      </c>
      <c r="J55" s="99">
        <f>MIN(EDATE(J54,1),IF('HIDDEN Redemption'!$B$11="",'HIDDEN Front Sheet'!$C$22,'HIDDEN Redemption'!$B$11))</f>
        <v>46539</v>
      </c>
      <c r="K55" s="40" t="str">
        <f>IFERROR(IF(OR(I55&gt;'HIDDEN Redemption'!$B$12,$I55&gt;$C$5),"",L54*$C$9/365*($J55-$J54)),"")</f>
        <v/>
      </c>
      <c r="L55" s="40" t="str">
        <f t="shared" si="14"/>
        <v/>
      </c>
      <c r="M55">
        <f t="shared" si="8"/>
        <v>20</v>
      </c>
      <c r="N55" s="99">
        <f>MIN(EDATE(N54,1),IF('HIDDEN Redemption'!$B$11="",'HIDDEN Front Sheet'!$C$22,'HIDDEN Redemption'!$B$11))</f>
        <v>46539</v>
      </c>
      <c r="O55" s="40" t="str">
        <f>IFERROR(IF(OR(M55&gt;'HIDDEN Redemption'!$B$12,$M55&gt;$C$5),"",P54*$C$9/365*($N55-$N54)),"")</f>
        <v/>
      </c>
      <c r="P55" s="40" t="str">
        <f t="shared" si="15"/>
        <v/>
      </c>
      <c r="Q55" s="96">
        <f t="shared" si="0"/>
        <v>0</v>
      </c>
      <c r="R55" s="40" t="str">
        <f>IF(OR(A55&gt;'HIDDEN Redemption'!$B$12,$A55&gt;$C$5),"",T54*$C$9/365*($B55-$B54))</f>
        <v/>
      </c>
      <c r="S55" s="89">
        <f>IF(OR(A55&gt;'HIDDEN Redemption'!$B$12,DAY($B55)&lt;&gt;DAY($B54)),0,S54)</f>
        <v>0</v>
      </c>
      <c r="T55" s="40" t="str">
        <f>IFERROR(T54+R55-S55+IF(OR($A55=$C$5,$A55='HIDDEN Redemption'!$B$12),$S$31,0),"")</f>
        <v/>
      </c>
      <c r="U55" s="40" t="str">
        <f>IF(OR(E55&gt;'HIDDEN Redemption'!$B$12,$E55&gt;$C$5),"",W54*$C$9/365*($F55-$F54))</f>
        <v/>
      </c>
      <c r="V55" s="89">
        <f>IF(OR(E55&gt;'HIDDEN Redemption'!$B$12,DAY($F55)&lt;&gt;DAY($F54)),0,V54)</f>
        <v>0</v>
      </c>
      <c r="W55" s="40" t="str">
        <f t="shared" si="10"/>
        <v/>
      </c>
      <c r="X55" s="40" t="str">
        <f>IF(OR(I55&gt;'HIDDEN Redemption'!$B$12,$I55&gt;$C$5),"",Z54*$C$9/365*($J55-$J54))</f>
        <v/>
      </c>
      <c r="Y55" s="40">
        <f>IF(OR(I55&gt;'HIDDEN Redemption'!$B$12,DAY($J55)&lt;&gt;DAY($J54)),0,Y54)</f>
        <v>0</v>
      </c>
      <c r="Z55" s="40" t="str">
        <f t="shared" si="11"/>
        <v/>
      </c>
      <c r="AA55" s="40" t="str">
        <f>IF(OR(M55&gt;'HIDDEN Redemption'!$B$12,$M55&gt;$C$5),"",AC54*$C$9/365*($N55-$N54))</f>
        <v/>
      </c>
      <c r="AB55" s="40">
        <f>IF(OR(M55&gt;'HIDDEN Redemption'!$B$12,DAY($N55)&lt;&gt;DAY($N54)),0,AB54)</f>
        <v>0</v>
      </c>
      <c r="AC55" s="40" t="str">
        <f t="shared" si="12"/>
        <v/>
      </c>
      <c r="AD55" s="123">
        <f t="shared" si="1"/>
        <v>0</v>
      </c>
    </row>
    <row r="56" spans="1:34">
      <c r="A56">
        <f t="shared" si="3"/>
        <v>18</v>
      </c>
      <c r="B56" s="99">
        <f>MIN(EDATE(B55,1),IF('HIDDEN Redemption'!$B$11="",'HIDDEN Front Sheet'!$C$22,'HIDDEN Redemption'!$B$11))</f>
        <v>46539</v>
      </c>
      <c r="C56" s="40" t="str">
        <f>IFERROR(IF(OR(A56&gt;'HIDDEN Redemption'!$B$12,$A56&gt;$C$5),"",D55*$C$9/365*($B56-$B55)),"")</f>
        <v/>
      </c>
      <c r="D56" s="40" t="str">
        <f>IF(OR(C56="",C56=0),"",D55+C56+IF(OR($A56=$C$5,$B56='HIDDEN Redemption'!$B$11),$D$31,0))</f>
        <v/>
      </c>
      <c r="E56">
        <f t="shared" si="4"/>
        <v>19</v>
      </c>
      <c r="F56" s="99">
        <f>MIN(EDATE(F55,1),IF('HIDDEN Redemption'!$B$11="",'HIDDEN Front Sheet'!$C$22,'HIDDEN Redemption'!$B$11))</f>
        <v>46539</v>
      </c>
      <c r="G56" s="40" t="str">
        <f>IFERROR(IF(OR(E56&gt;'HIDDEN Redemption'!$B$12,$E56&gt;$C$5),"",H55*$C$9/365*($F56-$F55)),"")</f>
        <v/>
      </c>
      <c r="H56" s="40" t="str">
        <f t="shared" si="13"/>
        <v/>
      </c>
      <c r="I56">
        <f t="shared" si="6"/>
        <v>20</v>
      </c>
      <c r="J56" s="99">
        <f>MIN(EDATE(J55,1),IF('HIDDEN Redemption'!$B$11="",'HIDDEN Front Sheet'!$C$22,'HIDDEN Redemption'!$B$11))</f>
        <v>46539</v>
      </c>
      <c r="K56" s="40" t="str">
        <f>IFERROR(IF(OR(I56&gt;'HIDDEN Redemption'!$B$12,$I56&gt;$C$5),"",L55*$C$9/365*($J56-$J55)),"")</f>
        <v/>
      </c>
      <c r="L56" s="40" t="str">
        <f t="shared" ref="L56:L62" si="16">IF(K56="","",L55+K56)</f>
        <v/>
      </c>
      <c r="M56">
        <f t="shared" si="8"/>
        <v>21</v>
      </c>
      <c r="N56" s="99">
        <f>MIN(EDATE(N55,1),IF('HIDDEN Redemption'!$B$11="",'HIDDEN Front Sheet'!$C$22,'HIDDEN Redemption'!$B$11))</f>
        <v>46539</v>
      </c>
      <c r="O56" s="40" t="str">
        <f>IFERROR(IF(OR(M56&gt;'HIDDEN Redemption'!$B$12,$M56&gt;$C$5),"",P55*$C$9/365*($N56-$N55)),"")</f>
        <v/>
      </c>
      <c r="P56" s="40" t="str">
        <f t="shared" ref="P56:P62" si="17">IF(O56="","",P55+O56)</f>
        <v/>
      </c>
      <c r="Q56" s="96">
        <f>IF(A56=$C$5,SUM(D56,_xlfn.XLOOKUP($C$5,$I$39:$I$56,$L$39:$L$56,0,0,1),_xlfn.XLOOKUP($C$5,$E$39:$E$56,$H$39:$H$56,0,0,1),_xlfn.XLOOKUP($C$5,$M$39:$M$56,$P$39:$P$56,0,0,1)),SUM(IF(AND($H$30&gt;0,$E$39=A56),-$H$29,IF(AND($L$30&gt;0,$I$39=A56),-$L$29,IF(AND($P$30&gt;0,$M$39=A56),-$P$29,0)))))</f>
        <v>0</v>
      </c>
      <c r="R56" s="40" t="str">
        <f>IF(OR(A56&gt;'HIDDEN Redemption'!$B$12,$A56&gt;$C$5),"",T55*$C$9/365*($B56-$B55))</f>
        <v/>
      </c>
      <c r="S56" s="89">
        <f>IF(OR(A56&gt;'HIDDEN Redemption'!$B$12,DAY($B56)&lt;&gt;DAY($B55)),0,S55)</f>
        <v>0</v>
      </c>
      <c r="T56" s="40" t="str">
        <f>IFERROR(T55+R56-S56+IF(OR($A56=$C$5,$A56='HIDDEN Redemption'!$B$12),$S$31,0),"")</f>
        <v/>
      </c>
      <c r="U56" s="40" t="str">
        <f>IF(OR(E56&gt;'HIDDEN Redemption'!$B$12,$E56&gt;$C$5),"",W55*$C$9/365*($F56-$F55))</f>
        <v/>
      </c>
      <c r="V56" s="89">
        <f>IF(OR(E56&gt;'HIDDEN Redemption'!$B$12,DAY($F56)&lt;&gt;DAY($F55)),0,V55)</f>
        <v>0</v>
      </c>
      <c r="W56" s="40" t="str">
        <f t="shared" ref="W56:W62" si="18">IFERROR(W55+U56-V56,"")</f>
        <v/>
      </c>
      <c r="X56" s="40" t="str">
        <f>IF(OR(I56&gt;'HIDDEN Redemption'!$B$12,$I56&gt;$C$5),"",Z55*$C$9/365*($J56-$J55))</f>
        <v/>
      </c>
      <c r="Y56" s="40">
        <f>IF(OR(I56&gt;'HIDDEN Redemption'!$B$12,DAY($J56)&lt;&gt;DAY($J55)),0,Y55)</f>
        <v>0</v>
      </c>
      <c r="Z56" s="40" t="str">
        <f t="shared" ref="Z56:Z62" si="19">IFERROR(Z55+X56-Y56,"")</f>
        <v/>
      </c>
      <c r="AA56" s="40" t="str">
        <f>IF(OR(M56&gt;'HIDDEN Redemption'!$B$12,$M56&gt;$C$5),"",AC55*$C$9/365*($N56-$N55))</f>
        <v/>
      </c>
      <c r="AB56" s="40">
        <f>IF(OR(M56&gt;'HIDDEN Redemption'!$B$12,DAY($N56)&lt;&gt;DAY($N55)),0,AB55)</f>
        <v>0</v>
      </c>
      <c r="AC56" s="40" t="str">
        <f t="shared" ref="AC56:AC62" si="20">IFERROR(AC55+AA56-AB56,"")</f>
        <v/>
      </c>
      <c r="AD56" s="123">
        <f t="shared" ref="AD56:AD62" si="21">IFERROR(IF(A56=$C$5,SUM(T56,S56,_xlfn.XLOOKUP($C$5,$I$39:$I$56,$Z$39:$Z$56,0,0,1),_xlfn.XLOOKUP($C$5,$I$39:$I$56,$Y$39:$Y$56,0,0,1),_xlfn.XLOOKUP($C$5,$E$39:$E$56,$W$39:$W$56,0,0,1),_xlfn.XLOOKUP($C$5,$E$39:$E$56,$V$39:$V$56,0,0,1),_xlfn.XLOOKUP($C$5,$M$39:$M$56,$AB$39:$AB$56,0,0,1),_xlfn.XLOOKUP($C$5,$M$39:$M$56,$AC$39:$AC$56,0,0,1)),SUM(IF(AND($H$30&gt;0,$E$39=A56),-$H$29,0),IF(AND($L$30&gt;0,$I$39=A56),-$L$29,0),IF(AND($P$30&gt;0,$M$39=A56),-$P$29,0))+S56+_xlfn.XLOOKUP(A56,$E$39:$E$56,$V$39:$V$56,0,0,1)+_xlfn.XLOOKUP(A56,$I$39:$I$56,$Y$39:$Y$56,0,0,1)+_xlfn.XLOOKUP(A56,$M$39:$M$56,$AB$39:$AB$56,0,0,1)),"")</f>
        <v>0</v>
      </c>
    </row>
    <row r="57" spans="1:34">
      <c r="A57">
        <f t="shared" si="3"/>
        <v>19</v>
      </c>
      <c r="B57" s="99">
        <f>MIN(EDATE(B56,1),IF('HIDDEN Redemption'!$B$11="",'HIDDEN Front Sheet'!$C$22,'HIDDEN Redemption'!$B$11))</f>
        <v>46539</v>
      </c>
      <c r="C57" s="40" t="str">
        <f>IFERROR(IF(OR(A57&gt;'HIDDEN Redemption'!$B$12,$A57&gt;$C$5),"",D56*$C$9/365*($B57-$B56)),"")</f>
        <v/>
      </c>
      <c r="D57" s="40" t="str">
        <f>IF(OR(C57="",C57=0),"",D56+C57+IF(OR($A57=$C$5,$B57='HIDDEN Redemption'!$B$11),$D$31,0))</f>
        <v/>
      </c>
      <c r="E57">
        <f t="shared" si="4"/>
        <v>20</v>
      </c>
      <c r="F57" s="99">
        <f>MIN(EDATE(F56,1),IF('HIDDEN Redemption'!$B$11="",'HIDDEN Front Sheet'!$C$22,'HIDDEN Redemption'!$B$11))</f>
        <v>46539</v>
      </c>
      <c r="G57" s="40" t="str">
        <f>IFERROR(IF(OR(E57&gt;'HIDDEN Redemption'!$B$12,$E57&gt;$C$5),"",H56*$C$9/365*($F57-$F56)),"")</f>
        <v/>
      </c>
      <c r="H57" s="40" t="str">
        <f t="shared" ref="H57:H62" si="22">IF(G57="","",H56+G57)</f>
        <v/>
      </c>
      <c r="I57">
        <f t="shared" si="6"/>
        <v>21</v>
      </c>
      <c r="J57" s="99">
        <f>MIN(EDATE(J56,1),IF('HIDDEN Redemption'!$B$11="",'HIDDEN Front Sheet'!$C$22,'HIDDEN Redemption'!$B$11))</f>
        <v>46539</v>
      </c>
      <c r="K57" s="40" t="str">
        <f>IFERROR(IF(OR(I57&gt;'HIDDEN Redemption'!$B$12,$I57&gt;$C$5),"",L56*$C$9/365*($J57-$J56)),"")</f>
        <v/>
      </c>
      <c r="L57" s="40" t="str">
        <f t="shared" si="16"/>
        <v/>
      </c>
      <c r="M57">
        <f t="shared" si="8"/>
        <v>22</v>
      </c>
      <c r="N57" s="99">
        <f>MIN(EDATE(N56,1),IF('HIDDEN Redemption'!$B$11="",'HIDDEN Front Sheet'!$C$22,'HIDDEN Redemption'!$B$11))</f>
        <v>46539</v>
      </c>
      <c r="O57" s="40" t="str">
        <f>IFERROR(IF(OR(M57&gt;'HIDDEN Redemption'!$B$12,$M57&gt;$C$5),"",P56*$C$9/365*($N57-$N56)),"")</f>
        <v/>
      </c>
      <c r="P57" s="40" t="str">
        <f t="shared" si="17"/>
        <v/>
      </c>
      <c r="Q57" s="96">
        <f>IF(A57=$C$5,SUM(D57,_xlfn.XLOOKUP($C$5,$I$39:$I$56,$L$39:$L$56,0,0,1),_xlfn.XLOOKUP($C$5,$E$39:$E$56,$H$39:$H$56,0,0,1),_xlfn.XLOOKUP($C$5,$M$39:$M$56,$P$39:$P$56,0,0,1)),SUM(IF(AND($H$30&gt;0,$E$39=A57),-$H$29,IF(AND($L$30&gt;0,$I$39=A57),-$L$29,IF(AND($P$30&gt;0,$M$39=A57),-$P$29,0)))))</f>
        <v>0</v>
      </c>
      <c r="R57" s="40" t="str">
        <f>IF(OR(A57&gt;'HIDDEN Redemption'!$B$12,$A57&gt;$C$5),"",T56*$C$9/365*($B57-$B56))</f>
        <v/>
      </c>
      <c r="S57" s="89">
        <f>IF(OR(A57&gt;'HIDDEN Redemption'!$B$12,DAY($B57)&lt;&gt;DAY($B56)),0,S56)</f>
        <v>0</v>
      </c>
      <c r="T57" s="40" t="str">
        <f>IFERROR(T56+R57-S57+IF(OR($A57=$C$5,$A57='HIDDEN Redemption'!$B$12),$S$31,0),"")</f>
        <v/>
      </c>
      <c r="U57" s="40" t="str">
        <f>IF(OR(E57&gt;'HIDDEN Redemption'!$B$12,$E57&gt;$C$5),"",W56*$C$9/365*($F57-$F56))</f>
        <v/>
      </c>
      <c r="V57" s="89">
        <f>IF(OR(E57&gt;'HIDDEN Redemption'!$B$12,DAY($F57)&lt;&gt;DAY($F56)),0,V56)</f>
        <v>0</v>
      </c>
      <c r="W57" s="40" t="str">
        <f t="shared" si="18"/>
        <v/>
      </c>
      <c r="X57" s="40" t="str">
        <f>IF(OR(I57&gt;'HIDDEN Redemption'!$B$12,$I57&gt;$C$5),"",Z56*$C$9/365*($J57-$J56))</f>
        <v/>
      </c>
      <c r="Y57" s="40">
        <f>IF(OR(I57&gt;'HIDDEN Redemption'!$B$12,DAY($J57)&lt;&gt;DAY($J56)),0,Y56)</f>
        <v>0</v>
      </c>
      <c r="Z57" s="40" t="str">
        <f t="shared" si="19"/>
        <v/>
      </c>
      <c r="AA57" s="40" t="str">
        <f>IF(OR(M57&gt;'HIDDEN Redemption'!$B$12,$M57&gt;$C$5),"",AC56*$C$9/365*($N57-$N56))</f>
        <v/>
      </c>
      <c r="AB57" s="40">
        <f>IF(OR(M57&gt;'HIDDEN Redemption'!$B$12,DAY($N57)&lt;&gt;DAY($N56)),0,AB56)</f>
        <v>0</v>
      </c>
      <c r="AC57" s="40" t="str">
        <f t="shared" si="20"/>
        <v/>
      </c>
      <c r="AD57" s="123">
        <f t="shared" si="21"/>
        <v>0</v>
      </c>
    </row>
    <row r="58" spans="1:34">
      <c r="A58">
        <f t="shared" si="3"/>
        <v>20</v>
      </c>
      <c r="B58" s="99">
        <f>MIN(EDATE(B57,1),IF('HIDDEN Redemption'!$B$11="",'HIDDEN Front Sheet'!$C$22,'HIDDEN Redemption'!$B$11))</f>
        <v>46539</v>
      </c>
      <c r="C58" s="40" t="str">
        <f>IFERROR(IF(OR(A58&gt;'HIDDEN Redemption'!$B$12,$A58&gt;$C$5),"",D57*$C$9/365*($B58-$B57)),"")</f>
        <v/>
      </c>
      <c r="D58" s="40" t="str">
        <f>IF(OR(C58="",C58=0),"",D57+C58+IF(OR($A58=$C$5,$B58='HIDDEN Redemption'!$B$11),$D$31,0))</f>
        <v/>
      </c>
      <c r="E58">
        <f t="shared" si="4"/>
        <v>21</v>
      </c>
      <c r="F58" s="99">
        <f>MIN(EDATE(F57,1),IF('HIDDEN Redemption'!$B$11="",'HIDDEN Front Sheet'!$C$22,'HIDDEN Redemption'!$B$11))</f>
        <v>46539</v>
      </c>
      <c r="G58" s="40" t="str">
        <f>IFERROR(IF(OR(E58&gt;'HIDDEN Redemption'!$B$12,$E58&gt;$C$5),"",H57*$C$9/365*($F58-$F57)),"")</f>
        <v/>
      </c>
      <c r="H58" s="40" t="str">
        <f t="shared" si="22"/>
        <v/>
      </c>
      <c r="I58">
        <f t="shared" si="6"/>
        <v>22</v>
      </c>
      <c r="J58" s="99">
        <f>MIN(EDATE(J57,1),IF('HIDDEN Redemption'!$B$11="",'HIDDEN Front Sheet'!$C$22,'HIDDEN Redemption'!$B$11))</f>
        <v>46539</v>
      </c>
      <c r="K58" s="40" t="str">
        <f>IFERROR(IF(OR(I58&gt;'HIDDEN Redemption'!$B$12,$I58&gt;$C$5),"",L57*$C$9/365*($J58-$J57)),"")</f>
        <v/>
      </c>
      <c r="L58" s="40" t="str">
        <f t="shared" si="16"/>
        <v/>
      </c>
      <c r="M58">
        <f t="shared" si="8"/>
        <v>23</v>
      </c>
      <c r="N58" s="99">
        <f>MIN(EDATE(N57,1),IF('HIDDEN Redemption'!$B$11="",'HIDDEN Front Sheet'!$C$22,'HIDDEN Redemption'!$B$11))</f>
        <v>46539</v>
      </c>
      <c r="O58" s="40" t="str">
        <f>IFERROR(IF(OR(M58&gt;'HIDDEN Redemption'!$B$12,$M58&gt;$C$5),"",P57*$C$9/365*($N58-$N57)),"")</f>
        <v/>
      </c>
      <c r="P58" s="40" t="str">
        <f t="shared" si="17"/>
        <v/>
      </c>
      <c r="Q58" s="96">
        <f t="shared" ref="Q58:Q62" si="23">IF(A58=$C$5,SUM(D58,_xlfn.XLOOKUP($C$5,$I$39:$I$56,$L$39:$L$56,0,0,1),_xlfn.XLOOKUP($C$5,$E$39:$E$56,$H$39:$H$56,0,0,1),_xlfn.XLOOKUP($C$5,$M$39:$M$56,$P$39:$P$56,0,0,1)),SUM(IF(AND($H$30&gt;0,$E$39=A58),-$H$29,IF(AND($L$30&gt;0,$I$39=A58),-$L$29,IF(AND($P$30&gt;0,$M$39=A58),-$P$29,0)))))</f>
        <v>0</v>
      </c>
      <c r="R58" s="40" t="str">
        <f>IF(OR(A58&gt;'HIDDEN Redemption'!$B$12,$A58&gt;$C$5),"",T57*$C$9/365*($B58-$B57))</f>
        <v/>
      </c>
      <c r="S58" s="89">
        <f>IF(OR(A58&gt;'HIDDEN Redemption'!$B$12,DAY($B58)&lt;&gt;DAY($B57)),0,S57)</f>
        <v>0</v>
      </c>
      <c r="T58" s="40" t="str">
        <f>IFERROR(T57+R58-S58+IF(OR($A58=$C$5,$A58='HIDDEN Redemption'!$B$12),$S$31,0),"")</f>
        <v/>
      </c>
      <c r="U58" s="40" t="str">
        <f>IF(OR(E58&gt;'HIDDEN Redemption'!$B$12,$E58&gt;$C$5),"",W57*$C$9/365*($F58-$F57))</f>
        <v/>
      </c>
      <c r="V58" s="89">
        <f>IF(OR(E58&gt;'HIDDEN Redemption'!$B$12,DAY($F58)&lt;&gt;DAY($F57)),0,V57)</f>
        <v>0</v>
      </c>
      <c r="W58" s="40" t="str">
        <f t="shared" si="18"/>
        <v/>
      </c>
      <c r="X58" s="40" t="str">
        <f>IF(OR(I58&gt;'HIDDEN Redemption'!$B$12,$I58&gt;$C$5),"",Z57*$C$9/365*($J58-$J57))</f>
        <v/>
      </c>
      <c r="Y58" s="40">
        <f>IF(OR(I58&gt;'HIDDEN Redemption'!$B$12,DAY($J58)&lt;&gt;DAY($J57)),0,Y57)</f>
        <v>0</v>
      </c>
      <c r="Z58" s="40" t="str">
        <f t="shared" si="19"/>
        <v/>
      </c>
      <c r="AA58" s="40" t="str">
        <f>IF(OR(M58&gt;'HIDDEN Redemption'!$B$12,$M58&gt;$C$5),"",AC57*$C$9/365*($N58-$N57))</f>
        <v/>
      </c>
      <c r="AB58" s="40">
        <f>IF(OR(M58&gt;'HIDDEN Redemption'!$B$12,DAY($N58)&lt;&gt;DAY($N57)),0,AB57)</f>
        <v>0</v>
      </c>
      <c r="AC58" s="40" t="str">
        <f t="shared" si="20"/>
        <v/>
      </c>
      <c r="AD58" s="123">
        <f t="shared" si="21"/>
        <v>0</v>
      </c>
    </row>
    <row r="59" spans="1:34">
      <c r="A59">
        <f t="shared" si="3"/>
        <v>21</v>
      </c>
      <c r="B59" s="99">
        <f>MIN(EDATE(B58,1),IF('HIDDEN Redemption'!$B$11="",'HIDDEN Front Sheet'!$C$22,'HIDDEN Redemption'!$B$11))</f>
        <v>46539</v>
      </c>
      <c r="C59" s="40" t="str">
        <f>IFERROR(IF(OR(A59&gt;'HIDDEN Redemption'!$B$12,$A59&gt;$C$5),"",D58*$C$9/365*($B59-$B58)),"")</f>
        <v/>
      </c>
      <c r="D59" s="40" t="str">
        <f>IF(OR(C59="",C59=0),"",D58+C59+IF(OR($A59=$C$5,$B59='HIDDEN Redemption'!$B$11),$D$31,0))</f>
        <v/>
      </c>
      <c r="E59">
        <f t="shared" si="4"/>
        <v>22</v>
      </c>
      <c r="F59" s="99">
        <f>MIN(EDATE(F58,1),IF('HIDDEN Redemption'!$B$11="",'HIDDEN Front Sheet'!$C$22,'HIDDEN Redemption'!$B$11))</f>
        <v>46539</v>
      </c>
      <c r="G59" s="40" t="str">
        <f>IFERROR(IF(OR(E59&gt;'HIDDEN Redemption'!$B$12,$E59&gt;$C$5),"",H58*$C$9/365*($F59-$F58)),"")</f>
        <v/>
      </c>
      <c r="H59" s="40" t="str">
        <f t="shared" si="22"/>
        <v/>
      </c>
      <c r="I59">
        <f t="shared" si="6"/>
        <v>23</v>
      </c>
      <c r="J59" s="99">
        <f>MIN(EDATE(J58,1),IF('HIDDEN Redemption'!$B$11="",'HIDDEN Front Sheet'!$C$22,'HIDDEN Redemption'!$B$11))</f>
        <v>46539</v>
      </c>
      <c r="K59" s="40" t="str">
        <f>IFERROR(IF(OR(I59&gt;'HIDDEN Redemption'!$B$12,$I59&gt;$C$5),"",L58*$C$9/365*($J59-$J58)),"")</f>
        <v/>
      </c>
      <c r="L59" s="40" t="str">
        <f t="shared" si="16"/>
        <v/>
      </c>
      <c r="M59">
        <f t="shared" si="8"/>
        <v>24</v>
      </c>
      <c r="N59" s="99">
        <f>MIN(EDATE(N58,1),IF('HIDDEN Redemption'!$B$11="",'HIDDEN Front Sheet'!$C$22,'HIDDEN Redemption'!$B$11))</f>
        <v>46539</v>
      </c>
      <c r="O59" s="40" t="str">
        <f>IFERROR(IF(OR(M59&gt;'HIDDEN Redemption'!$B$12,$M59&gt;$C$5),"",P58*$C$9/365*($N59-$N58)),"")</f>
        <v/>
      </c>
      <c r="P59" s="40" t="str">
        <f t="shared" si="17"/>
        <v/>
      </c>
      <c r="Q59" s="96">
        <f t="shared" si="23"/>
        <v>0</v>
      </c>
      <c r="R59" s="40" t="str">
        <f>IF(OR(A59&gt;'HIDDEN Redemption'!$B$12,$A59&gt;$C$5),"",T58*$C$9/365*($B59-$B58))</f>
        <v/>
      </c>
      <c r="S59" s="89">
        <f>IF(OR(A59&gt;'HIDDEN Redemption'!$B$12,DAY($B59)&lt;&gt;DAY($B58)),0,S58)</f>
        <v>0</v>
      </c>
      <c r="T59" s="40" t="str">
        <f>IFERROR(T58+R59-S59+IF(OR($A59=$C$5,$A59='HIDDEN Redemption'!$B$12),$S$31,0),"")</f>
        <v/>
      </c>
      <c r="U59" s="40" t="str">
        <f>IF(OR(E59&gt;'HIDDEN Redemption'!$B$12,$E59&gt;$C$5),"",W58*$C$9/365*($F59-$F58))</f>
        <v/>
      </c>
      <c r="V59" s="89">
        <f>IF(OR(E59&gt;'HIDDEN Redemption'!$B$12,DAY($F59)&lt;&gt;DAY($F58)),0,V58)</f>
        <v>0</v>
      </c>
      <c r="W59" s="40" t="str">
        <f t="shared" si="18"/>
        <v/>
      </c>
      <c r="X59" s="40" t="str">
        <f>IF(OR(I59&gt;'HIDDEN Redemption'!$B$12,$I59&gt;$C$5),"",Z58*$C$9/365*($J59-$J58))</f>
        <v/>
      </c>
      <c r="Y59" s="40">
        <f>IF(OR(I59&gt;'HIDDEN Redemption'!$B$12,DAY($J59)&lt;&gt;DAY($J58)),0,Y58)</f>
        <v>0</v>
      </c>
      <c r="Z59" s="40" t="str">
        <f t="shared" si="19"/>
        <v/>
      </c>
      <c r="AA59" s="40" t="str">
        <f>IF(OR(M59&gt;'HIDDEN Redemption'!$B$12,$M59&gt;$C$5),"",AC58*$C$9/365*($N59-$N58))</f>
        <v/>
      </c>
      <c r="AB59" s="40">
        <f>IF(OR(M59&gt;'HIDDEN Redemption'!$B$12,DAY($N59)&lt;&gt;DAY($N58)),0,AB58)</f>
        <v>0</v>
      </c>
      <c r="AC59" s="40" t="str">
        <f t="shared" si="20"/>
        <v/>
      </c>
      <c r="AD59" s="123">
        <f t="shared" si="21"/>
        <v>0</v>
      </c>
    </row>
    <row r="60" spans="1:34">
      <c r="A60">
        <f t="shared" si="3"/>
        <v>22</v>
      </c>
      <c r="B60" s="99">
        <f>MIN(EDATE(B59,1),IF('HIDDEN Redemption'!$B$11="",'HIDDEN Front Sheet'!$C$22,'HIDDEN Redemption'!$B$11))</f>
        <v>46539</v>
      </c>
      <c r="C60" s="40" t="str">
        <f>IFERROR(IF(OR(A60&gt;'HIDDEN Redemption'!$B$12,$A60&gt;$C$5),"",D59*$C$9/365*($B60-$B59)),"")</f>
        <v/>
      </c>
      <c r="D60" s="40" t="str">
        <f>IF(OR(C60="",C60=0),"",D59+C60+IF(OR($A60=$C$5,$B60='HIDDEN Redemption'!$B$11),$D$31,0))</f>
        <v/>
      </c>
      <c r="E60">
        <f t="shared" si="4"/>
        <v>23</v>
      </c>
      <c r="F60" s="99">
        <f>MIN(EDATE(F59,1),IF('HIDDEN Redemption'!$B$11="",'HIDDEN Front Sheet'!$C$22,'HIDDEN Redemption'!$B$11))</f>
        <v>46539</v>
      </c>
      <c r="G60" s="40" t="str">
        <f>IFERROR(IF(OR(E60&gt;'HIDDEN Redemption'!$B$12,$E60&gt;$C$5),"",H59*$C$9/365*($F60-$F59)),"")</f>
        <v/>
      </c>
      <c r="H60" s="40" t="str">
        <f t="shared" si="22"/>
        <v/>
      </c>
      <c r="I60">
        <f t="shared" si="6"/>
        <v>24</v>
      </c>
      <c r="J60" s="99">
        <f>MIN(EDATE(J59,1),IF('HIDDEN Redemption'!$B$11="",'HIDDEN Front Sheet'!$C$22,'HIDDEN Redemption'!$B$11))</f>
        <v>46539</v>
      </c>
      <c r="K60" s="40" t="str">
        <f>IFERROR(IF(OR(I60&gt;'HIDDEN Redemption'!$B$12,$I60&gt;$C$5),"",L59*$C$9/365*($J60-$J59)),"")</f>
        <v/>
      </c>
      <c r="L60" s="40" t="str">
        <f t="shared" si="16"/>
        <v/>
      </c>
      <c r="M60">
        <f t="shared" si="8"/>
        <v>25</v>
      </c>
      <c r="N60" s="99">
        <f>MIN(EDATE(N59,1),IF('HIDDEN Redemption'!$B$11="",'HIDDEN Front Sheet'!$C$22,'HIDDEN Redemption'!$B$11))</f>
        <v>46539</v>
      </c>
      <c r="O60" s="40" t="str">
        <f>IFERROR(IF(OR(M60&gt;'HIDDEN Redemption'!$B$12,$M60&gt;$C$5),"",P59*$C$9/365*($N60-$N59)),"")</f>
        <v/>
      </c>
      <c r="P60" s="40" t="str">
        <f t="shared" si="17"/>
        <v/>
      </c>
      <c r="Q60" s="96">
        <f t="shared" si="23"/>
        <v>0</v>
      </c>
      <c r="R60" s="40" t="str">
        <f>IF(OR(A60&gt;'HIDDEN Redemption'!$B$12,$A60&gt;$C$5),"",T59*$C$9/365*($B60-$B59))</f>
        <v/>
      </c>
      <c r="S60" s="89">
        <f>IF(OR(A60&gt;'HIDDEN Redemption'!$B$12,DAY($B60)&lt;&gt;DAY($B59)),0,S59)</f>
        <v>0</v>
      </c>
      <c r="T60" s="40" t="str">
        <f>IFERROR(T59+R60-S60+IF(OR($A60=$C$5,$A60='HIDDEN Redemption'!$B$12),$S$31,0),"")</f>
        <v/>
      </c>
      <c r="U60" s="40" t="str">
        <f>IF(OR(E60&gt;'HIDDEN Redemption'!$B$12,$E60&gt;$C$5),"",W59*$C$9/365*($F60-$F59))</f>
        <v/>
      </c>
      <c r="V60" s="89">
        <f>IF(OR(E60&gt;'HIDDEN Redemption'!$B$12,DAY($F60)&lt;&gt;DAY($F59)),0,V59)</f>
        <v>0</v>
      </c>
      <c r="W60" s="40" t="str">
        <f t="shared" si="18"/>
        <v/>
      </c>
      <c r="X60" s="40" t="str">
        <f>IF(OR(I60&gt;'HIDDEN Redemption'!$B$12,$I60&gt;$C$5),"",Z59*$C$9/365*($J60-$J59))</f>
        <v/>
      </c>
      <c r="Y60" s="40">
        <f>IF(OR(I60&gt;'HIDDEN Redemption'!$B$12,DAY($J60)&lt;&gt;DAY($J59)),0,Y59)</f>
        <v>0</v>
      </c>
      <c r="Z60" s="40" t="str">
        <f t="shared" si="19"/>
        <v/>
      </c>
      <c r="AA60" s="40" t="str">
        <f>IF(OR(M60&gt;'HIDDEN Redemption'!$B$12,$M60&gt;$C$5),"",AC59*$C$9/365*($N60-$N59))</f>
        <v/>
      </c>
      <c r="AB60" s="40">
        <f>IF(OR(M60&gt;'HIDDEN Redemption'!$B$12,DAY($N60)&lt;&gt;DAY($N59)),0,AB59)</f>
        <v>0</v>
      </c>
      <c r="AC60" s="40" t="str">
        <f t="shared" si="20"/>
        <v/>
      </c>
      <c r="AD60" s="123">
        <f t="shared" si="21"/>
        <v>0</v>
      </c>
    </row>
    <row r="61" spans="1:34">
      <c r="A61">
        <f t="shared" si="3"/>
        <v>23</v>
      </c>
      <c r="B61" s="99">
        <f>MIN(EDATE(B60,1),IF('HIDDEN Redemption'!$B$11="",'HIDDEN Front Sheet'!$C$22,'HIDDEN Redemption'!$B$11))</f>
        <v>46539</v>
      </c>
      <c r="C61" s="40" t="str">
        <f>IFERROR(IF(OR(A61&gt;'HIDDEN Redemption'!$B$12,$A61&gt;$C$5),"",D60*$C$9/365*($B61-$B60)),"")</f>
        <v/>
      </c>
      <c r="D61" s="40" t="str">
        <f>IF(OR(C61="",C61=0),"",D60+C61+IF(OR($A61=$C$5,$B61='HIDDEN Redemption'!$B$11),$D$31,0))</f>
        <v/>
      </c>
      <c r="E61">
        <f t="shared" si="4"/>
        <v>24</v>
      </c>
      <c r="F61" s="99">
        <f>MIN(EDATE(F60,1),IF('HIDDEN Redemption'!$B$11="",'HIDDEN Front Sheet'!$C$22,'HIDDEN Redemption'!$B$11))</f>
        <v>46539</v>
      </c>
      <c r="G61" s="40" t="str">
        <f>IFERROR(IF(OR(E61&gt;'HIDDEN Redemption'!$B$12,$E61&gt;$C$5),"",H60*$C$9/365*($F61-$F60)),"")</f>
        <v/>
      </c>
      <c r="H61" s="40" t="str">
        <f t="shared" si="22"/>
        <v/>
      </c>
      <c r="I61">
        <f t="shared" si="6"/>
        <v>25</v>
      </c>
      <c r="J61" s="99">
        <f>MIN(EDATE(J60,1),IF('HIDDEN Redemption'!$B$11="",'HIDDEN Front Sheet'!$C$22,'HIDDEN Redemption'!$B$11))</f>
        <v>46539</v>
      </c>
      <c r="K61" s="40" t="str">
        <f>IFERROR(IF(OR(I61&gt;'HIDDEN Redemption'!$B$12,$I61&gt;$C$5),"",L60*$C$9/365*($J61-$J60)),"")</f>
        <v/>
      </c>
      <c r="L61" s="40" t="str">
        <f t="shared" si="16"/>
        <v/>
      </c>
      <c r="M61">
        <f t="shared" si="8"/>
        <v>26</v>
      </c>
      <c r="N61" s="99">
        <f>MIN(EDATE(N60,1),IF('HIDDEN Redemption'!$B$11="",'HIDDEN Front Sheet'!$C$22,'HIDDEN Redemption'!$B$11))</f>
        <v>46539</v>
      </c>
      <c r="O61" s="40" t="str">
        <f>IFERROR(IF(OR(M61&gt;'HIDDEN Redemption'!$B$12,$M61&gt;$C$5),"",P60*$C$9/365*($N61-$N60)),"")</f>
        <v/>
      </c>
      <c r="P61" s="40" t="str">
        <f t="shared" si="17"/>
        <v/>
      </c>
      <c r="Q61" s="96">
        <f t="shared" si="23"/>
        <v>0</v>
      </c>
      <c r="R61" s="40" t="str">
        <f>IF(OR(A61&gt;'HIDDEN Redemption'!$B$12,$A61&gt;$C$5),"",T60*$C$9/365*($B61-$B60))</f>
        <v/>
      </c>
      <c r="S61" s="89">
        <f>IF(OR(A61&gt;'HIDDEN Redemption'!$B$12,DAY($B61)&lt;&gt;DAY($B60)),0,S60)</f>
        <v>0</v>
      </c>
      <c r="T61" s="40" t="str">
        <f>IFERROR(T60+R61-S61+IF(OR($A61=$C$5,$A61='HIDDEN Redemption'!$B$12),$S$31,0),"")</f>
        <v/>
      </c>
      <c r="U61" s="40" t="str">
        <f>IF(OR(E61&gt;'HIDDEN Redemption'!$B$12,$E61&gt;$C$5),"",W60*$C$9/365*($F61-$F60))</f>
        <v/>
      </c>
      <c r="V61" s="89">
        <f>IF(OR(E61&gt;'HIDDEN Redemption'!$B$12,DAY($F61)&lt;&gt;DAY($F60)),0,V60)</f>
        <v>0</v>
      </c>
      <c r="W61" s="40" t="str">
        <f t="shared" si="18"/>
        <v/>
      </c>
      <c r="X61" s="40" t="str">
        <f>IF(OR(I61&gt;'HIDDEN Redemption'!$B$12,$I61&gt;$C$5),"",Z60*$C$9/365*($J61-$J60))</f>
        <v/>
      </c>
      <c r="Y61" s="40">
        <f>IF(OR(I61&gt;'HIDDEN Redemption'!$B$12,DAY($J61)&lt;&gt;DAY($J60)),0,Y60)</f>
        <v>0</v>
      </c>
      <c r="Z61" s="40" t="str">
        <f t="shared" si="19"/>
        <v/>
      </c>
      <c r="AA61" s="40" t="str">
        <f>IF(OR(M61&gt;'HIDDEN Redemption'!$B$12,$M61&gt;$C$5),"",AC60*$C$9/365*($N61-$N60))</f>
        <v/>
      </c>
      <c r="AB61" s="40">
        <f>IF(OR(M61&gt;'HIDDEN Redemption'!$B$12,DAY($N61)&lt;&gt;DAY($N60)),0,AB60)</f>
        <v>0</v>
      </c>
      <c r="AC61" s="40" t="str">
        <f t="shared" si="20"/>
        <v/>
      </c>
      <c r="AD61" s="123">
        <f t="shared" si="21"/>
        <v>0</v>
      </c>
    </row>
    <row r="62" spans="1:34">
      <c r="A62">
        <f t="shared" si="3"/>
        <v>24</v>
      </c>
      <c r="B62" s="99">
        <f>MIN(EDATE(B61,1),IF('HIDDEN Redemption'!$B$11="",'HIDDEN Front Sheet'!$C$22,'HIDDEN Redemption'!$B$11))</f>
        <v>46539</v>
      </c>
      <c r="C62" s="40" t="str">
        <f>IFERROR(IF(OR(A62&gt;'HIDDEN Redemption'!$B$12,$A62&gt;$C$5),"",D61*$C$9/365*($B62-$B61)),"")</f>
        <v/>
      </c>
      <c r="D62" s="40" t="str">
        <f>IF(OR(C62="",C62=0),"",D61+C62+IF(OR($A62=$C$5,$B62='HIDDEN Redemption'!$B$11),$D$31,0))</f>
        <v/>
      </c>
      <c r="E62">
        <f t="shared" si="4"/>
        <v>25</v>
      </c>
      <c r="F62" s="99">
        <f>MIN(EDATE(F61,1),IF('HIDDEN Redemption'!$B$11="",'HIDDEN Front Sheet'!$C$22,'HIDDEN Redemption'!$B$11))</f>
        <v>46539</v>
      </c>
      <c r="G62" s="40" t="str">
        <f>IFERROR(IF(OR(E62&gt;'HIDDEN Redemption'!$B$12,$E62&gt;$C$5),"",H61*$C$9/365*($F62-$F61)),"")</f>
        <v/>
      </c>
      <c r="H62" s="40" t="str">
        <f t="shared" si="22"/>
        <v/>
      </c>
      <c r="I62">
        <f t="shared" si="6"/>
        <v>26</v>
      </c>
      <c r="J62" s="99">
        <f>MIN(EDATE(J61,1),IF('HIDDEN Redemption'!$B$11="",'HIDDEN Front Sheet'!$C$22,'HIDDEN Redemption'!$B$11))</f>
        <v>46539</v>
      </c>
      <c r="K62" s="40" t="str">
        <f>IFERROR(IF(OR(I62&gt;'HIDDEN Redemption'!$B$12,$I62&gt;$C$5),"",L61*$C$9/365*($J62-$J61)),"")</f>
        <v/>
      </c>
      <c r="L62" s="40" t="str">
        <f t="shared" si="16"/>
        <v/>
      </c>
      <c r="M62">
        <f t="shared" si="8"/>
        <v>27</v>
      </c>
      <c r="N62" s="99">
        <f>MIN(EDATE(N61,1),IF('HIDDEN Redemption'!$B$11="",'HIDDEN Front Sheet'!$C$22,'HIDDEN Redemption'!$B$11))</f>
        <v>46539</v>
      </c>
      <c r="O62" s="40" t="str">
        <f>IFERROR(IF(OR(M62&gt;'HIDDEN Redemption'!$B$12,$M62&gt;$C$5),"",P61*$C$9/365*($N62-$N61)),"")</f>
        <v/>
      </c>
      <c r="P62" s="40" t="str">
        <f t="shared" si="17"/>
        <v/>
      </c>
      <c r="Q62" s="96">
        <f t="shared" si="23"/>
        <v>0</v>
      </c>
      <c r="R62" s="40" t="str">
        <f>IF(OR(A62&gt;'HIDDEN Redemption'!$B$12,$A62&gt;$C$5),"",T61*$C$9/365*($B62-$B61))</f>
        <v/>
      </c>
      <c r="S62" s="89">
        <f>IF(OR(A62&gt;'HIDDEN Redemption'!$B$12,DAY($B62)&lt;&gt;DAY($B61)),0,S61)</f>
        <v>0</v>
      </c>
      <c r="T62" s="40" t="str">
        <f>IFERROR(T61+R62-S62+IF(OR($A62=$C$5,$A62='HIDDEN Redemption'!$B$12),$S$31,0),"")</f>
        <v/>
      </c>
      <c r="U62" s="40" t="str">
        <f>IF(OR(E62&gt;'HIDDEN Redemption'!$B$12,$E62&gt;$C$5),"",W61*$C$9/365*($F62-$F61))</f>
        <v/>
      </c>
      <c r="V62" s="89">
        <f>IF(OR(E62&gt;'HIDDEN Redemption'!$B$12,DAY($F62)&lt;&gt;DAY($F61)),0,V61)</f>
        <v>0</v>
      </c>
      <c r="W62" s="40" t="str">
        <f t="shared" si="18"/>
        <v/>
      </c>
      <c r="X62" s="40" t="str">
        <f>IF(OR(I62&gt;'HIDDEN Redemption'!$B$12,$I62&gt;$C$5),"",Z61*$C$9/365*($J62-$J61))</f>
        <v/>
      </c>
      <c r="Y62" s="40">
        <f>IF(OR(I62&gt;'HIDDEN Redemption'!$B$12,DAY($J62)&lt;&gt;DAY($J61)),0,Y61)</f>
        <v>0</v>
      </c>
      <c r="Z62" s="40" t="str">
        <f t="shared" si="19"/>
        <v/>
      </c>
      <c r="AA62" s="40" t="str">
        <f>IF(OR(M62&gt;'HIDDEN Redemption'!$B$12,$M62&gt;$C$5),"",AC61*$C$9/365*($N62-$N61))</f>
        <v/>
      </c>
      <c r="AB62" s="40">
        <f>IF(OR(M62&gt;'HIDDEN Redemption'!$B$12,DAY($N62)&lt;&gt;DAY($N61)),0,AB61)</f>
        <v>0</v>
      </c>
      <c r="AC62" s="40" t="str">
        <f t="shared" si="20"/>
        <v/>
      </c>
      <c r="AD62" s="123">
        <f t="shared" si="21"/>
        <v>0</v>
      </c>
    </row>
    <row r="63" spans="1:34">
      <c r="B63" s="80"/>
      <c r="C63" s="42"/>
      <c r="D63" s="42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91"/>
      <c r="R63" s="90"/>
      <c r="S63" s="42"/>
      <c r="T63" s="29"/>
      <c r="U63" s="29"/>
      <c r="V63" s="29"/>
      <c r="W63" s="29"/>
      <c r="X63" s="29"/>
      <c r="Y63" s="29"/>
      <c r="Z63" s="29"/>
      <c r="AA63" s="29"/>
      <c r="AB63" s="29"/>
      <c r="AC63" s="29"/>
    </row>
    <row r="64" spans="1:34">
      <c r="A64" s="100"/>
      <c r="B64" s="81" t="s">
        <v>253</v>
      </c>
      <c r="C64" s="332">
        <f>SUM(_xlfn.XLOOKUP($C$5,A39:A62,D39:D62,0,0,1),_xlfn.XLOOKUP($C$5,I39:I62,L39:L62,0,0,1),_xlfn.XLOOKUP($C$5,$E$39:$E$62,$H$39:$H$62,0,0,1),_xlfn.XLOOKUP($C$5,$M$39:$M$62,$P$39:$P$62,0,0,1))/C7</f>
        <v>0.22867803238126774</v>
      </c>
      <c r="D64" s="333"/>
      <c r="E64" s="103"/>
      <c r="F64" s="103"/>
      <c r="G64" s="103"/>
      <c r="H64" s="103"/>
      <c r="I64" s="103"/>
      <c r="J64" s="103"/>
      <c r="K64" s="103"/>
      <c r="L64" s="103"/>
      <c r="M64" s="29"/>
      <c r="N64" s="29"/>
      <c r="O64" s="29"/>
      <c r="P64" s="29"/>
      <c r="Q64" s="109"/>
      <c r="R64" s="334">
        <f>SUM(S35,U35,W35)/C7</f>
        <v>0.20424999999999999</v>
      </c>
      <c r="S64" s="333"/>
      <c r="T64" s="29"/>
      <c r="U64" s="29"/>
      <c r="V64" s="29"/>
      <c r="W64" s="29"/>
      <c r="X64" s="29"/>
      <c r="Y64" s="29"/>
      <c r="Z64" s="29"/>
      <c r="AA64" s="29"/>
      <c r="AB64" s="29"/>
      <c r="AC64" s="29"/>
    </row>
    <row r="65" spans="1:33">
      <c r="B65" s="83"/>
      <c r="C65" s="43"/>
      <c r="D65" s="43"/>
      <c r="E65" s="103"/>
      <c r="F65" s="103"/>
      <c r="G65" s="103"/>
      <c r="H65" s="103"/>
      <c r="I65" s="103"/>
      <c r="J65" s="103"/>
      <c r="K65" s="103"/>
      <c r="L65" s="103"/>
      <c r="M65" s="29"/>
      <c r="N65" s="29"/>
      <c r="O65" s="29"/>
      <c r="P65" s="29"/>
      <c r="Q65" s="110"/>
      <c r="R65" s="29"/>
      <c r="S65" s="29"/>
      <c r="T65" s="29"/>
      <c r="U65" s="27"/>
      <c r="V65" s="29"/>
      <c r="W65" s="29"/>
      <c r="X65" s="29"/>
      <c r="Y65" s="29"/>
      <c r="Z65" s="29"/>
      <c r="AA65" s="29"/>
      <c r="AB65" s="29"/>
      <c r="AC65" s="29"/>
    </row>
    <row r="66" spans="1:33">
      <c r="A66" s="100"/>
      <c r="B66" s="81" t="s">
        <v>142</v>
      </c>
      <c r="C66" s="335">
        <f>C19</f>
        <v>343017.04857190163</v>
      </c>
      <c r="D66" s="336"/>
      <c r="E66" s="103"/>
      <c r="F66" s="103"/>
      <c r="G66" s="103"/>
      <c r="H66" s="103"/>
      <c r="I66" s="103"/>
      <c r="J66" s="103"/>
      <c r="K66" s="103"/>
      <c r="L66" s="103"/>
      <c r="M66" s="29"/>
      <c r="N66" s="29"/>
      <c r="O66" s="29"/>
      <c r="P66" s="29"/>
      <c r="Q66" s="111"/>
      <c r="R66" s="337">
        <f>SUM(S35,S39:S56,U35,V39:V56,W35,Y39:Y56)</f>
        <v>330010.5</v>
      </c>
      <c r="S66" s="336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1:33">
      <c r="A67" s="100"/>
      <c r="B67" s="82" t="s">
        <v>146</v>
      </c>
      <c r="C67" s="335">
        <f>C66/C15</f>
        <v>1.106506608296457</v>
      </c>
      <c r="D67" s="336"/>
      <c r="E67" s="103"/>
      <c r="F67" s="103"/>
      <c r="G67" s="103"/>
      <c r="H67" s="103"/>
      <c r="I67" s="103"/>
      <c r="J67" s="103"/>
      <c r="K67" s="103"/>
      <c r="L67" s="103"/>
      <c r="M67" s="29"/>
      <c r="N67" s="29"/>
      <c r="O67" s="29"/>
      <c r="P67" s="29"/>
      <c r="Q67" s="112"/>
      <c r="R67" s="337">
        <f>R66/C15</f>
        <v>1.0645500000000001</v>
      </c>
      <c r="S67" s="336"/>
      <c r="T67" s="29"/>
      <c r="U67" s="29"/>
      <c r="V67" s="29"/>
      <c r="W67" s="29"/>
      <c r="X67" s="29"/>
      <c r="Y67" s="29"/>
      <c r="Z67" s="29"/>
      <c r="AA67" s="29"/>
      <c r="AB67" s="29"/>
      <c r="AC67" s="29"/>
    </row>
    <row r="68" spans="1:33">
      <c r="A68" s="100"/>
      <c r="B68" s="82" t="s">
        <v>149</v>
      </c>
      <c r="C68" s="332">
        <f>IF('HIDDEN Redemption'!B11="",(1+IRR(Q38:Q62))^12-1,"")</f>
        <v>9.8777068716845662E-2</v>
      </c>
      <c r="D68" s="333"/>
      <c r="E68" s="103"/>
      <c r="F68" s="103"/>
      <c r="G68" s="103"/>
      <c r="H68" s="103"/>
      <c r="I68" s="103"/>
      <c r="J68" s="103"/>
      <c r="K68" s="103"/>
      <c r="L68" s="103"/>
      <c r="M68" s="29"/>
      <c r="N68" s="29"/>
      <c r="O68" s="29"/>
      <c r="P68" s="29"/>
      <c r="Q68" s="112"/>
      <c r="R68" s="334">
        <f>IF('HIDDEN Redemption'!B11="",(1+IRR(AD38:AD56))^12-1,"")</f>
        <v>9.3704919758473393E-2</v>
      </c>
      <c r="S68" s="333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G68" s="12"/>
    </row>
    <row r="69" spans="1:33">
      <c r="B69" s="84"/>
      <c r="C69" s="44"/>
      <c r="D69" s="44"/>
      <c r="E69" s="103"/>
      <c r="F69" s="103"/>
      <c r="G69" s="103"/>
      <c r="H69" s="103"/>
      <c r="I69" s="103"/>
      <c r="J69" s="103"/>
      <c r="K69" s="103"/>
      <c r="L69" s="103"/>
      <c r="M69" s="29"/>
      <c r="N69" s="29"/>
      <c r="O69" s="29"/>
      <c r="P69" s="29"/>
      <c r="Q69" s="113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G69" s="12"/>
    </row>
    <row r="70" spans="1:33">
      <c r="AG70" s="12"/>
    </row>
    <row r="72" spans="1:33">
      <c r="K72" s="114"/>
      <c r="L72" s="115"/>
      <c r="M72" s="115"/>
      <c r="N72" s="115"/>
      <c r="O72" s="115"/>
      <c r="P72" s="115"/>
    </row>
    <row r="78" spans="1:33">
      <c r="H78" s="41"/>
      <c r="I78" s="41"/>
      <c r="J78" s="41"/>
      <c r="K78" s="41"/>
    </row>
  </sheetData>
  <mergeCells count="8">
    <mergeCell ref="C64:D64"/>
    <mergeCell ref="R64:S64"/>
    <mergeCell ref="C67:D67"/>
    <mergeCell ref="R67:S67"/>
    <mergeCell ref="C68:D68"/>
    <mergeCell ref="R68:S68"/>
    <mergeCell ref="C66:D66"/>
    <mergeCell ref="R66:S6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fd5681-3f5a-471b-a32e-443913cd4851" xsi:nil="true"/>
    <lcf76f155ced4ddcb4097134ff3c332f xmlns="a0aafc73-3b15-4c08-ae90-80f170e31cd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21784A0EE0F2409B9BB64BEDBE956D" ma:contentTypeVersion="14" ma:contentTypeDescription="Create a new document." ma:contentTypeScope="" ma:versionID="e880421d1df2928dc40900d15bda11e0">
  <xsd:schema xmlns:xsd="http://www.w3.org/2001/XMLSchema" xmlns:xs="http://www.w3.org/2001/XMLSchema" xmlns:p="http://schemas.microsoft.com/office/2006/metadata/properties" xmlns:ns2="a0aafc73-3b15-4c08-ae90-80f170e31cda" xmlns:ns3="24fd5681-3f5a-471b-a32e-443913cd4851" targetNamespace="http://schemas.microsoft.com/office/2006/metadata/properties" ma:root="true" ma:fieldsID="fc834004b368aaa3821b5545bfcefcb1" ns2:_="" ns3:_="">
    <xsd:import namespace="a0aafc73-3b15-4c08-ae90-80f170e31cda"/>
    <xsd:import namespace="24fd5681-3f5a-471b-a32e-443913cd48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afc73-3b15-4c08-ae90-80f170e31c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e6860c9-6a6e-4516-a9f5-30b1efbbe6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d5681-3f5a-471b-a32e-443913cd485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d9d8cdc-4689-434e-b1dd-35276b99e8f9}" ma:internalName="TaxCatchAll" ma:showField="CatchAllData" ma:web="24fd5681-3f5a-471b-a32e-443913cd48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5DFAE9-D778-4002-AF7E-57A2F62B45CA}">
  <ds:schemaRefs>
    <ds:schemaRef ds:uri="http://schemas.openxmlformats.org/package/2006/metadata/core-properties"/>
    <ds:schemaRef ds:uri="http://purl.org/dc/terms/"/>
    <ds:schemaRef ds:uri="http://www.w3.org/XML/1998/namespace"/>
    <ds:schemaRef ds:uri="24fd5681-3f5a-471b-a32e-443913cd4851"/>
    <ds:schemaRef ds:uri="http://schemas.microsoft.com/office/2006/documentManagement/types"/>
    <ds:schemaRef ds:uri="a0aafc73-3b15-4c08-ae90-80f170e31cda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FA210-891C-4EE2-AEEC-1A51AA1EC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aafc73-3b15-4c08-ae90-80f170e31cda"/>
    <ds:schemaRef ds:uri="24fd5681-3f5a-471b-a32e-443913cd48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11289B-8929-441F-BEF4-F9553C1D44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Products</vt:lpstr>
      <vt:lpstr>Calculator</vt:lpstr>
      <vt:lpstr>DIP Terms</vt:lpstr>
      <vt:lpstr>Calculator Redemption</vt:lpstr>
      <vt:lpstr>Cashflow Calculator</vt:lpstr>
      <vt:lpstr>HIDDEN Front Sheet</vt:lpstr>
      <vt:lpstr>HIDDEN AIP Terms</vt:lpstr>
      <vt:lpstr>HIDDEN Redemption</vt:lpstr>
      <vt:lpstr>HIDDEN Cashflow</vt:lpstr>
      <vt:lpstr>'DIP Terms'!Print_Area</vt:lpstr>
      <vt:lpstr>'HIDDEN AIP Terms'!Print_Area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Lawton</dc:creator>
  <cp:keywords/>
  <dc:description/>
  <cp:lastModifiedBy>Luke Martin</cp:lastModifiedBy>
  <cp:revision/>
  <dcterms:created xsi:type="dcterms:W3CDTF">2025-08-15T07:05:54Z</dcterms:created>
  <dcterms:modified xsi:type="dcterms:W3CDTF">2026-05-13T12:56:08Z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0x0101007221784A0EE0F2409B9BB64BEDBE956D</vt:lpwstr>
  </property>
  <property fmtid="{D5CDD505-2E9C-101B-9397-08002B2CF9AE}" pid="3" name="MediaServiceImageTags">
    <vt:lpwstr/>
  </property>
  <property fmtid="{D5CDD505-2E9C-101B-9397-08002B2CF9AE}" pid="4" name="MSIP_Label_ced5ae8c-3098-495e-860d-7c4bfefee0ea_Removed">
    <vt:lpwstr>False</vt:lpwstr>
  </property>
  <property fmtid="{D5CDD505-2E9C-101B-9397-08002B2CF9AE}" pid="5" name="MSIP_Label_ced5ae8c-3098-495e-860d-7c4bfefee0ea_ActionId">
    <vt:lpwstr>1ad39a69-b014-4a0c-bb83-47d6192fbe61</vt:lpwstr>
  </property>
  <property fmtid="{D5CDD505-2E9C-101B-9397-08002B2CF9AE}" pid="6" name="MSIP_Label_ced5ae8c-3098-495e-860d-7c4bfefee0ea_Name">
    <vt:lpwstr>Confidential</vt:lpwstr>
  </property>
  <property fmtid="{D5CDD505-2E9C-101B-9397-08002B2CF9AE}" pid="7" name="MSIP_Label_ced5ae8c-3098-495e-860d-7c4bfefee0ea_SetDate">
    <vt:lpwstr>2026-02-05T18:12:11Z</vt:lpwstr>
  </property>
  <property fmtid="{D5CDD505-2E9C-101B-9397-08002B2CF9AE}" pid="8" name="MSIP_Label_ced5ae8c-3098-495e-860d-7c4bfefee0ea_SiteId">
    <vt:lpwstr>be2320dc-accb-49b0-9448-4459a0db4cb5</vt:lpwstr>
  </property>
  <property fmtid="{D5CDD505-2E9C-101B-9397-08002B2CF9AE}" pid="9" name="MSIP_Label_ced5ae8c-3098-495e-860d-7c4bfefee0ea_Enabled">
    <vt:lpwstr>True</vt:lpwstr>
  </property>
  <property fmtid="{D5CDD505-2E9C-101B-9397-08002B2CF9AE}" pid="10" name="MSIP_Label_ced5ae8c-3098-495e-860d-7c4bfefee0ea_Extended_MSFT_Method">
    <vt:lpwstr>Standard</vt:lpwstr>
  </property>
  <property fmtid="{D5CDD505-2E9C-101B-9397-08002B2CF9AE}" pid="11" name="Sensitivity">
    <vt:lpwstr>Confidential</vt:lpwstr>
  </property>
</Properties>
</file>